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Dokumenti\TFI-POD\"/>
    </mc:Choice>
  </mc:AlternateContent>
  <bookViews>
    <workbookView xWindow="-15" yWindow="-15" windowWidth="11865" windowHeight="7425" tabRatio="837" firstSheet="1" activeTab="1"/>
  </bookViews>
  <sheets>
    <sheet name="Skriveni" sheetId="14" state="hidden" r:id="rId1"/>
    <sheet name="Opci" sheetId="4" r:id="rId2"/>
    <sheet name="Bilanca" sheetId="1" r:id="rId3"/>
    <sheet name="RDG" sheetId="2" r:id="rId4"/>
    <sheet name="PodDop" sheetId="10" r:id="rId5"/>
    <sheet name="NT_I" sheetId="6" r:id="rId6"/>
    <sheet name="NT_D" sheetId="5" r:id="rId7"/>
    <sheet name="PK" sheetId="3" r:id="rId8"/>
    <sheet name="ListaMB" sheetId="11" r:id="rId9"/>
    <sheet name="Kont" sheetId="8" r:id="rId10"/>
    <sheet name="Djel" sheetId="9" r:id="rId11"/>
    <sheet name="Opcine" sheetId="16" r:id="rId12"/>
    <sheet name="Sifre" sheetId="15" r:id="rId13"/>
  </sheets>
  <definedNames>
    <definedName name="OLE_LINK3" localSheetId="2">Bilanca!$A$9</definedName>
    <definedName name="_xlnm.Print_Area" localSheetId="2">Bilanca!$A$3:$L$118</definedName>
    <definedName name="_xlnm.Print_Area" localSheetId="10">Djel!$A$4:$J$619</definedName>
    <definedName name="_xlnm.Print_Area" localSheetId="9">Kont!$A$3:$J$52</definedName>
    <definedName name="_xlnm.Print_Area" localSheetId="8">ListaMB!$A$4:$K$108</definedName>
    <definedName name="_xlnm.Print_Area" localSheetId="6">NT_D!$A$3:$L$57</definedName>
    <definedName name="_xlnm.Print_Area" localSheetId="5">NT_I!$A$3:$L$55</definedName>
    <definedName name="_xlnm.Print_Area" localSheetId="1">Opci!$A$12:$N$74</definedName>
    <definedName name="_xlnm.Print_Area" localSheetId="11">Opcine!$A$4:$J$190</definedName>
    <definedName name="_xlnm.Print_Area" localSheetId="7">PK!$A$3:$L$29</definedName>
    <definedName name="_xlnm.Print_Area" localSheetId="4">PodDop!$A$3:$L$137</definedName>
    <definedName name="_xlnm.Print_Area" localSheetId="3">RDG!$A$3:$L$55</definedName>
    <definedName name="_xlnm.Print_Area" localSheetId="12">Sifre!$A$3:$J$47</definedName>
    <definedName name="_xlnm.Print_Titles" localSheetId="2">Bilanca!$3:$8</definedName>
    <definedName name="_xlnm.Print_Titles" localSheetId="10">Djel!$4:$4</definedName>
    <definedName name="_xlnm.Print_Titles" localSheetId="9">Kont!$3:$3</definedName>
    <definedName name="_xlnm.Print_Titles" localSheetId="8">ListaMB!$4:$8</definedName>
    <definedName name="_xlnm.Print_Titles" localSheetId="11">Opcine!$4:$4</definedName>
    <definedName name="_xlnm.Print_Titles" localSheetId="4">PodDop!$3:$8</definedName>
  </definedNames>
  <calcPr calcId="152511" fullCalcOnLoad="1"/>
</workbook>
</file>

<file path=xl/calcChain.xml><?xml version="1.0" encoding="utf-8"?>
<calcChain xmlns="http://schemas.openxmlformats.org/spreadsheetml/2006/main">
  <c r="L39" i="6" l="1"/>
  <c r="N34" i="8"/>
  <c r="AT34" i="8" s="1"/>
  <c r="BH34" i="8"/>
  <c r="M34" i="8"/>
  <c r="BG34" i="8" s="1"/>
  <c r="BF34" i="8"/>
  <c r="BB34" i="8"/>
  <c r="AP34" i="8"/>
  <c r="AL34" i="8"/>
  <c r="Z34" i="8"/>
  <c r="V34" i="8"/>
  <c r="O33" i="8"/>
  <c r="N33" i="8"/>
  <c r="M33" i="8"/>
  <c r="AF32" i="8"/>
  <c r="AC32" i="8"/>
  <c r="J366" i="14"/>
  <c r="J365" i="14"/>
  <c r="J364" i="14"/>
  <c r="J358" i="14"/>
  <c r="J357" i="14"/>
  <c r="J356" i="14"/>
  <c r="J355" i="14"/>
  <c r="J354" i="14"/>
  <c r="J352" i="14"/>
  <c r="J351" i="14"/>
  <c r="J350" i="14"/>
  <c r="J346" i="14"/>
  <c r="J345" i="14"/>
  <c r="J344" i="14"/>
  <c r="J342" i="14"/>
  <c r="J341" i="14"/>
  <c r="J340" i="14"/>
  <c r="J339" i="14"/>
  <c r="J338" i="14"/>
  <c r="J334" i="14"/>
  <c r="J333" i="14"/>
  <c r="J332" i="14"/>
  <c r="J331" i="14"/>
  <c r="J330" i="14"/>
  <c r="J329" i="14"/>
  <c r="J327" i="14"/>
  <c r="J326" i="14"/>
  <c r="J325" i="14"/>
  <c r="J324" i="14"/>
  <c r="J323" i="14"/>
  <c r="O49" i="8"/>
  <c r="P49" i="8"/>
  <c r="Q49" i="8"/>
  <c r="T49" i="8"/>
  <c r="R49" i="8"/>
  <c r="S49" i="8"/>
  <c r="M49" i="8"/>
  <c r="N49" i="8"/>
  <c r="L49" i="8"/>
  <c r="B49" i="8" s="1"/>
  <c r="L48" i="8"/>
  <c r="Y2" i="14"/>
  <c r="Z2" i="14"/>
  <c r="AA2" i="14"/>
  <c r="AB2" i="14"/>
  <c r="Y3" i="14"/>
  <c r="Z3" i="14"/>
  <c r="AA3" i="14"/>
  <c r="AB3" i="14"/>
  <c r="AC3" i="14"/>
  <c r="Y4" i="14"/>
  <c r="Z4" i="14"/>
  <c r="AA4" i="14"/>
  <c r="AB4" i="14"/>
  <c r="Y5" i="14"/>
  <c r="Z5" i="14"/>
  <c r="AA5" i="14"/>
  <c r="AB5" i="14"/>
  <c r="Y6" i="14"/>
  <c r="Z6" i="14"/>
  <c r="AA6" i="14"/>
  <c r="AB6" i="14"/>
  <c r="Y7" i="14"/>
  <c r="Z7" i="14"/>
  <c r="AA7" i="14"/>
  <c r="AB7" i="14"/>
  <c r="AC7" i="14" s="1"/>
  <c r="Y8" i="14"/>
  <c r="Z8" i="14"/>
  <c r="AA8" i="14"/>
  <c r="AB8" i="14"/>
  <c r="Y9" i="14"/>
  <c r="Z9" i="14"/>
  <c r="AA9" i="14"/>
  <c r="AB9" i="14"/>
  <c r="Y10" i="14"/>
  <c r="Z10" i="14"/>
  <c r="AA10" i="14"/>
  <c r="AB10" i="14"/>
  <c r="Y11" i="14"/>
  <c r="Z11" i="14"/>
  <c r="AC11" i="14"/>
  <c r="AA11" i="14"/>
  <c r="AB11" i="14"/>
  <c r="Y12" i="14"/>
  <c r="Z12" i="14"/>
  <c r="AC12" i="14" s="1"/>
  <c r="AA12" i="14"/>
  <c r="AB12" i="14"/>
  <c r="Y13" i="14"/>
  <c r="Z13" i="14"/>
  <c r="AC13" i="14" s="1"/>
  <c r="AA13" i="14"/>
  <c r="AB13" i="14"/>
  <c r="Y14" i="14"/>
  <c r="Z14" i="14"/>
  <c r="AA14" i="14"/>
  <c r="AB14" i="14"/>
  <c r="Y15" i="14"/>
  <c r="Z15" i="14"/>
  <c r="AC15" i="14" s="1"/>
  <c r="AA15" i="14"/>
  <c r="AB15" i="14"/>
  <c r="Y16" i="14"/>
  <c r="Z16" i="14"/>
  <c r="AC16" i="14" s="1"/>
  <c r="AA16" i="14"/>
  <c r="AB16" i="14"/>
  <c r="Y17" i="14"/>
  <c r="Z17" i="14"/>
  <c r="AC17" i="14" s="1"/>
  <c r="AA17" i="14"/>
  <c r="AB17" i="14"/>
  <c r="Y18" i="14"/>
  <c r="Z18" i="14"/>
  <c r="AC18" i="14" s="1"/>
  <c r="AA18" i="14"/>
  <c r="AB18" i="14"/>
  <c r="Y19" i="14"/>
  <c r="Z19" i="14"/>
  <c r="AA19" i="14"/>
  <c r="AB19" i="14"/>
  <c r="Y20" i="14"/>
  <c r="Z20" i="14"/>
  <c r="AA20" i="14"/>
  <c r="AB20" i="14"/>
  <c r="Y21" i="14"/>
  <c r="Z21" i="14"/>
  <c r="AA21" i="14"/>
  <c r="AB21" i="14"/>
  <c r="Y22" i="14"/>
  <c r="Z22" i="14"/>
  <c r="AA22" i="14"/>
  <c r="AB22" i="14"/>
  <c r="Y23" i="14"/>
  <c r="Z23" i="14"/>
  <c r="AA23" i="14"/>
  <c r="AB23" i="14"/>
  <c r="AC23" i="14" s="1"/>
  <c r="Y24" i="14"/>
  <c r="Z24" i="14"/>
  <c r="AA24" i="14"/>
  <c r="AB24" i="14"/>
  <c r="Y25" i="14"/>
  <c r="Z25" i="14"/>
  <c r="AC25" i="14"/>
  <c r="AA25" i="14"/>
  <c r="AB25" i="14"/>
  <c r="Y26" i="14"/>
  <c r="Z26" i="14"/>
  <c r="AC26" i="14" s="1"/>
  <c r="AA26" i="14"/>
  <c r="AB26" i="14"/>
  <c r="Y27" i="14"/>
  <c r="Z27" i="14"/>
  <c r="AA27" i="14"/>
  <c r="AB27" i="14"/>
  <c r="Y28" i="14"/>
  <c r="Z28" i="14"/>
  <c r="AA28" i="14"/>
  <c r="AB28" i="14"/>
  <c r="AC28" i="14" s="1"/>
  <c r="Y29" i="14"/>
  <c r="Z29" i="14"/>
  <c r="AC29" i="14"/>
  <c r="AA29" i="14"/>
  <c r="AB29" i="14"/>
  <c r="Y30" i="14"/>
  <c r="Z30" i="14"/>
  <c r="AC30" i="14" s="1"/>
  <c r="AA30" i="14"/>
  <c r="AB30" i="14"/>
  <c r="Y31" i="14"/>
  <c r="Z31" i="14"/>
  <c r="AA31" i="14"/>
  <c r="AB31" i="14"/>
  <c r="Y32" i="14"/>
  <c r="Z32" i="14"/>
  <c r="AA32" i="14"/>
  <c r="AB32" i="14"/>
  <c r="AC32" i="14" s="1"/>
  <c r="Y33" i="14"/>
  <c r="Z33" i="14"/>
  <c r="AC33" i="14"/>
  <c r="AA33" i="14"/>
  <c r="AB33" i="14"/>
  <c r="Y34" i="14"/>
  <c r="Z34" i="14"/>
  <c r="AC34" i="14" s="1"/>
  <c r="AA34" i="14"/>
  <c r="AB34" i="14"/>
  <c r="Y35" i="14"/>
  <c r="Z35" i="14"/>
  <c r="AA35" i="14"/>
  <c r="AB35" i="14"/>
  <c r="Y36" i="14"/>
  <c r="Z36" i="14"/>
  <c r="AA36" i="14"/>
  <c r="AB36" i="14"/>
  <c r="AC36" i="14" s="1"/>
  <c r="Y37" i="14"/>
  <c r="Z37" i="14"/>
  <c r="AC37" i="14"/>
  <c r="AA37" i="14"/>
  <c r="AB37" i="14"/>
  <c r="Y38" i="14"/>
  <c r="Z38" i="14"/>
  <c r="AC38" i="14" s="1"/>
  <c r="AA38" i="14"/>
  <c r="AB38" i="14"/>
  <c r="Y39" i="14"/>
  <c r="Z39" i="14"/>
  <c r="AA39" i="14"/>
  <c r="AB39" i="14"/>
  <c r="Y40" i="14"/>
  <c r="Z40" i="14"/>
  <c r="AA40" i="14"/>
  <c r="AB40" i="14"/>
  <c r="AC40" i="14" s="1"/>
  <c r="Y41" i="14"/>
  <c r="Z41" i="14"/>
  <c r="AC41" i="14"/>
  <c r="AA41" i="14"/>
  <c r="AB41" i="14"/>
  <c r="Y42" i="14"/>
  <c r="Z42" i="14"/>
  <c r="AC42" i="14" s="1"/>
  <c r="AA42" i="14"/>
  <c r="AB42" i="14"/>
  <c r="Y43" i="14"/>
  <c r="Z43" i="14"/>
  <c r="AA43" i="14"/>
  <c r="AB43" i="14"/>
  <c r="Y44" i="14"/>
  <c r="Z44" i="14"/>
  <c r="AA44" i="14"/>
  <c r="AB44" i="14"/>
  <c r="AC44" i="14" s="1"/>
  <c r="Y45" i="14"/>
  <c r="Z45" i="14"/>
  <c r="AC45" i="14"/>
  <c r="AA45" i="14"/>
  <c r="AB45" i="14"/>
  <c r="Y46" i="14"/>
  <c r="Z46" i="14"/>
  <c r="AC46" i="14" s="1"/>
  <c r="AA46" i="14"/>
  <c r="AB46" i="14"/>
  <c r="Y47" i="14"/>
  <c r="Z47" i="14"/>
  <c r="AA47" i="14"/>
  <c r="AB47" i="14"/>
  <c r="Y48" i="14"/>
  <c r="Z48" i="14"/>
  <c r="AA48" i="14"/>
  <c r="AB48" i="14"/>
  <c r="AC48" i="14" s="1"/>
  <c r="Y49" i="14"/>
  <c r="Z49" i="14"/>
  <c r="AC49" i="14"/>
  <c r="AA49" i="14"/>
  <c r="AB49" i="14"/>
  <c r="Y50" i="14"/>
  <c r="Z50" i="14"/>
  <c r="AC50" i="14" s="1"/>
  <c r="AA50" i="14"/>
  <c r="AB50" i="14"/>
  <c r="Y51" i="14"/>
  <c r="Z51" i="14"/>
  <c r="AA51" i="14"/>
  <c r="AB51" i="14"/>
  <c r="Y52" i="14"/>
  <c r="Z52" i="14"/>
  <c r="AA52" i="14"/>
  <c r="AB52" i="14"/>
  <c r="AC52" i="14" s="1"/>
  <c r="Y53" i="14"/>
  <c r="Z53" i="14"/>
  <c r="AC53" i="14"/>
  <c r="AA53" i="14"/>
  <c r="AB53" i="14"/>
  <c r="Y54" i="14"/>
  <c r="Z54" i="14"/>
  <c r="AC54" i="14" s="1"/>
  <c r="AA54" i="14"/>
  <c r="AB54" i="14"/>
  <c r="Y55" i="14"/>
  <c r="Z55" i="14"/>
  <c r="AA55" i="14"/>
  <c r="AB55" i="14"/>
  <c r="Y56" i="14"/>
  <c r="Z56" i="14"/>
  <c r="AA56" i="14"/>
  <c r="AB56" i="14"/>
  <c r="AC56" i="14" s="1"/>
  <c r="Y57" i="14"/>
  <c r="Z57" i="14"/>
  <c r="AC57" i="14"/>
  <c r="AA57" i="14"/>
  <c r="AB57" i="14"/>
  <c r="Y58" i="14"/>
  <c r="Z58" i="14"/>
  <c r="AC58" i="14" s="1"/>
  <c r="AA58" i="14"/>
  <c r="AB58" i="14"/>
  <c r="Y59" i="14"/>
  <c r="Z59" i="14"/>
  <c r="AA59" i="14"/>
  <c r="AB59" i="14"/>
  <c r="Y60" i="14"/>
  <c r="Z60" i="14"/>
  <c r="AA60" i="14"/>
  <c r="AB60" i="14"/>
  <c r="AC60" i="14" s="1"/>
  <c r="Y61" i="14"/>
  <c r="Z61" i="14"/>
  <c r="AC61" i="14"/>
  <c r="AA61" i="14"/>
  <c r="AB61" i="14"/>
  <c r="Y62" i="14"/>
  <c r="Z62" i="14"/>
  <c r="AC62" i="14" s="1"/>
  <c r="AA62" i="14"/>
  <c r="AB62" i="14"/>
  <c r="Y63" i="14"/>
  <c r="Z63" i="14"/>
  <c r="AA63" i="14"/>
  <c r="AB63" i="14"/>
  <c r="Y64" i="14"/>
  <c r="Z64" i="14"/>
  <c r="AA64" i="14"/>
  <c r="AB64" i="14"/>
  <c r="AC64" i="14" s="1"/>
  <c r="Y65" i="14"/>
  <c r="Z65" i="14"/>
  <c r="AC65" i="14"/>
  <c r="AA65" i="14"/>
  <c r="AB65" i="14"/>
  <c r="Y66" i="14"/>
  <c r="Z66" i="14"/>
  <c r="AC66" i="14" s="1"/>
  <c r="AA66" i="14"/>
  <c r="AB66" i="14"/>
  <c r="Y67" i="14"/>
  <c r="Z67" i="14"/>
  <c r="AA67" i="14"/>
  <c r="AB67" i="14"/>
  <c r="Y68" i="14"/>
  <c r="Z68" i="14"/>
  <c r="AA68" i="14"/>
  <c r="AB68" i="14"/>
  <c r="AC68" i="14" s="1"/>
  <c r="Y69" i="14"/>
  <c r="Z69" i="14"/>
  <c r="AC69" i="14"/>
  <c r="AA69" i="14"/>
  <c r="AB69" i="14"/>
  <c r="Y70" i="14"/>
  <c r="Z70" i="14"/>
  <c r="AC70" i="14" s="1"/>
  <c r="AA70" i="14"/>
  <c r="AB70" i="14"/>
  <c r="Y71" i="14"/>
  <c r="AC71" i="14" s="1"/>
  <c r="Z71" i="14"/>
  <c r="AA71" i="14"/>
  <c r="AB71" i="14"/>
  <c r="Y72" i="14"/>
  <c r="Z72" i="14"/>
  <c r="AA72" i="14"/>
  <c r="AB72" i="14"/>
  <c r="AC72" i="14"/>
  <c r="Y73" i="14"/>
  <c r="Z73" i="14"/>
  <c r="AA73" i="14"/>
  <c r="AC73" i="14" s="1"/>
  <c r="AB73" i="14"/>
  <c r="Y74" i="14"/>
  <c r="Z74" i="14"/>
  <c r="AA74" i="14"/>
  <c r="AB74" i="14"/>
  <c r="Y75" i="14"/>
  <c r="Z75" i="14"/>
  <c r="AA75" i="14"/>
  <c r="AB75" i="14"/>
  <c r="Y76" i="14"/>
  <c r="Z76" i="14"/>
  <c r="AA76" i="14"/>
  <c r="AB76" i="14"/>
  <c r="AC76" i="14" s="1"/>
  <c r="Y77" i="14"/>
  <c r="Z77" i="14"/>
  <c r="AC77" i="14"/>
  <c r="AA77" i="14"/>
  <c r="AB77" i="14"/>
  <c r="Y78" i="14"/>
  <c r="Z78" i="14"/>
  <c r="AC78" i="14" s="1"/>
  <c r="AA78" i="14"/>
  <c r="AB78" i="14"/>
  <c r="Y79" i="14"/>
  <c r="Z79" i="14"/>
  <c r="AA79" i="14"/>
  <c r="AB79" i="14"/>
  <c r="Y80" i="14"/>
  <c r="Z80" i="14"/>
  <c r="AA80" i="14"/>
  <c r="AB80" i="14"/>
  <c r="AC80" i="14" s="1"/>
  <c r="Y81" i="14"/>
  <c r="Z81" i="14"/>
  <c r="AC81" i="14"/>
  <c r="AA81" i="14"/>
  <c r="AB81" i="14"/>
  <c r="Y82" i="14"/>
  <c r="Z82" i="14"/>
  <c r="AC82" i="14" s="1"/>
  <c r="AA82" i="14"/>
  <c r="AB82" i="14"/>
  <c r="Y83" i="14"/>
  <c r="AC83" i="14" s="1"/>
  <c r="Z83" i="14"/>
  <c r="AA83" i="14"/>
  <c r="AB83" i="14"/>
  <c r="Y84" i="14"/>
  <c r="Z84" i="14"/>
  <c r="AA84" i="14"/>
  <c r="AB84" i="14"/>
  <c r="AC84" i="14"/>
  <c r="Y85" i="14"/>
  <c r="Z85" i="14"/>
  <c r="AA85" i="14"/>
  <c r="AB85" i="14"/>
  <c r="Y86" i="14"/>
  <c r="Z86" i="14"/>
  <c r="AA86" i="14"/>
  <c r="AC86" i="14" s="1"/>
  <c r="AB86" i="14"/>
  <c r="Y87" i="14"/>
  <c r="Z87" i="14"/>
  <c r="AA87" i="14"/>
  <c r="AB87" i="14"/>
  <c r="Y88" i="14"/>
  <c r="Z88" i="14"/>
  <c r="AA88" i="14"/>
  <c r="AC88" i="14" s="1"/>
  <c r="AB88" i="14"/>
  <c r="Y89" i="14"/>
  <c r="Z89" i="14"/>
  <c r="AC89" i="14"/>
  <c r="AA89" i="14"/>
  <c r="AB89" i="14"/>
  <c r="Y90" i="14"/>
  <c r="Z90" i="14"/>
  <c r="AC90" i="14" s="1"/>
  <c r="AA90" i="14"/>
  <c r="AB90" i="14"/>
  <c r="Y91" i="14"/>
  <c r="AC91" i="14" s="1"/>
  <c r="Z91" i="14"/>
  <c r="AA91" i="14"/>
  <c r="AB91" i="14"/>
  <c r="Y92" i="14"/>
  <c r="Z92" i="14"/>
  <c r="AA92" i="14"/>
  <c r="AB92" i="14"/>
  <c r="AC92" i="14"/>
  <c r="Y93" i="14"/>
  <c r="Z93" i="14"/>
  <c r="AA93" i="14"/>
  <c r="AC93" i="14" s="1"/>
  <c r="AB93" i="14"/>
  <c r="Y94" i="14"/>
  <c r="Z94" i="14"/>
  <c r="AA94" i="14"/>
  <c r="AB94" i="14"/>
  <c r="Y95" i="14"/>
  <c r="AC95" i="14" s="1"/>
  <c r="Z95" i="14"/>
  <c r="AA95" i="14"/>
  <c r="AB95" i="14"/>
  <c r="Y96" i="14"/>
  <c r="AC96" i="14" s="1"/>
  <c r="Z96" i="14"/>
  <c r="AA96" i="14"/>
  <c r="AB96" i="14"/>
  <c r="Y97" i="14"/>
  <c r="Z97" i="14"/>
  <c r="AA97" i="14"/>
  <c r="AC97" i="14" s="1"/>
  <c r="AB97" i="14"/>
  <c r="Y98" i="14"/>
  <c r="Z98" i="14"/>
  <c r="AA98" i="14"/>
  <c r="AB98" i="14"/>
  <c r="Y99" i="14"/>
  <c r="Z99" i="14"/>
  <c r="AA99" i="14"/>
  <c r="AB99" i="14"/>
  <c r="Y100" i="14"/>
  <c r="Z100" i="14"/>
  <c r="AA100" i="14"/>
  <c r="AC100" i="14" s="1"/>
  <c r="AB100" i="14"/>
  <c r="Y101" i="14"/>
  <c r="Z101" i="14"/>
  <c r="AC101" i="14" s="1"/>
  <c r="AA101" i="14"/>
  <c r="AB101" i="14"/>
  <c r="B60" i="14"/>
  <c r="B9" i="14"/>
  <c r="V2" i="4"/>
  <c r="B11" i="14"/>
  <c r="X2" i="4"/>
  <c r="B12" i="14"/>
  <c r="Y2" i="4"/>
  <c r="B43" i="14"/>
  <c r="AJ2" i="4"/>
  <c r="J2" i="14"/>
  <c r="F2" i="14"/>
  <c r="H2" i="14" s="1"/>
  <c r="K2" i="14"/>
  <c r="K12" i="1"/>
  <c r="K19" i="1"/>
  <c r="K29" i="1"/>
  <c r="K37" i="1"/>
  <c r="J29" i="14" s="1"/>
  <c r="I29" i="14"/>
  <c r="F3" i="14"/>
  <c r="L12" i="1"/>
  <c r="K4" i="14" s="1"/>
  <c r="J4" i="14"/>
  <c r="L19" i="1"/>
  <c r="L29" i="1"/>
  <c r="K21" i="14" s="1"/>
  <c r="H21" i="14" s="1"/>
  <c r="L37" i="1"/>
  <c r="L11" i="1"/>
  <c r="K3" i="14" s="1"/>
  <c r="F4" i="14"/>
  <c r="J5" i="14"/>
  <c r="F5" i="14"/>
  <c r="K5" i="14"/>
  <c r="J6" i="14"/>
  <c r="F6" i="14"/>
  <c r="K6" i="14"/>
  <c r="J7" i="14"/>
  <c r="F7" i="14"/>
  <c r="K7" i="14"/>
  <c r="J8" i="14"/>
  <c r="F8" i="14"/>
  <c r="K8" i="14"/>
  <c r="J9" i="14"/>
  <c r="F9" i="14"/>
  <c r="K9" i="14"/>
  <c r="J10" i="14"/>
  <c r="F10" i="14"/>
  <c r="K10" i="14"/>
  <c r="F11" i="14"/>
  <c r="K11" i="14"/>
  <c r="J12" i="14"/>
  <c r="F12" i="14"/>
  <c r="K12" i="14"/>
  <c r="H12" i="14"/>
  <c r="J13" i="14"/>
  <c r="F13" i="14"/>
  <c r="K13" i="14"/>
  <c r="H13" i="14"/>
  <c r="J14" i="14"/>
  <c r="F14" i="14"/>
  <c r="K14" i="14"/>
  <c r="H14" i="14"/>
  <c r="J15" i="14"/>
  <c r="F15" i="14"/>
  <c r="K15" i="14"/>
  <c r="H15" i="14"/>
  <c r="J16" i="14"/>
  <c r="F16" i="14"/>
  <c r="K16" i="14"/>
  <c r="H16" i="14"/>
  <c r="J17" i="14"/>
  <c r="F17" i="14"/>
  <c r="K17" i="14"/>
  <c r="H17" i="14"/>
  <c r="J18" i="14"/>
  <c r="F18" i="14"/>
  <c r="K18" i="14"/>
  <c r="H18" i="14"/>
  <c r="J19" i="14"/>
  <c r="F19" i="14"/>
  <c r="K19" i="14"/>
  <c r="H19" i="14"/>
  <c r="J20" i="14"/>
  <c r="F20" i="14"/>
  <c r="K20" i="14"/>
  <c r="H20" i="14"/>
  <c r="J21" i="14"/>
  <c r="I21" i="14" s="1"/>
  <c r="F21" i="14"/>
  <c r="J22" i="14"/>
  <c r="F22" i="14"/>
  <c r="K22" i="14"/>
  <c r="J23" i="14"/>
  <c r="F23" i="14"/>
  <c r="K23" i="14"/>
  <c r="J24" i="14"/>
  <c r="H24" i="14" s="1"/>
  <c r="F24" i="14"/>
  <c r="K24" i="14"/>
  <c r="J25" i="14"/>
  <c r="H25" i="14" s="1"/>
  <c r="F25" i="14"/>
  <c r="K25" i="14"/>
  <c r="J26" i="14"/>
  <c r="F26" i="14"/>
  <c r="K26" i="14"/>
  <c r="J27" i="14"/>
  <c r="F27" i="14"/>
  <c r="K27" i="14"/>
  <c r="J28" i="14"/>
  <c r="H28" i="14" s="1"/>
  <c r="F28" i="14"/>
  <c r="K28" i="14"/>
  <c r="F29" i="14"/>
  <c r="K29" i="14"/>
  <c r="J30" i="14"/>
  <c r="F30" i="14"/>
  <c r="K30" i="14"/>
  <c r="H30" i="14" s="1"/>
  <c r="J31" i="14"/>
  <c r="F31" i="14"/>
  <c r="K31" i="14"/>
  <c r="H31" i="14" s="1"/>
  <c r="J32" i="14"/>
  <c r="F32" i="14"/>
  <c r="K32" i="14"/>
  <c r="H32" i="14" s="1"/>
  <c r="J33" i="14"/>
  <c r="F33" i="14"/>
  <c r="K33" i="14"/>
  <c r="K43" i="1"/>
  <c r="K51" i="1"/>
  <c r="J43" i="14"/>
  <c r="I43" i="14" s="1"/>
  <c r="K58" i="1"/>
  <c r="F34" i="14"/>
  <c r="L43" i="1"/>
  <c r="L51" i="1"/>
  <c r="K43" i="14" s="1"/>
  <c r="L58" i="1"/>
  <c r="J35" i="14"/>
  <c r="F35" i="14"/>
  <c r="J36" i="14"/>
  <c r="F36" i="14"/>
  <c r="K36" i="14"/>
  <c r="J37" i="14"/>
  <c r="F37" i="14"/>
  <c r="K37" i="14"/>
  <c r="J38" i="14"/>
  <c r="H38" i="14" s="1"/>
  <c r="F38" i="14"/>
  <c r="K38" i="14"/>
  <c r="J39" i="14"/>
  <c r="F39" i="14"/>
  <c r="K39" i="14"/>
  <c r="J40" i="14"/>
  <c r="F40" i="14"/>
  <c r="K40" i="14"/>
  <c r="J41" i="14"/>
  <c r="F41" i="14"/>
  <c r="K41" i="14"/>
  <c r="J42" i="14"/>
  <c r="H42" i="14" s="1"/>
  <c r="F42" i="14"/>
  <c r="K42" i="14"/>
  <c r="F43" i="14"/>
  <c r="J44" i="14"/>
  <c r="H44" i="14" s="1"/>
  <c r="F44" i="14"/>
  <c r="K44" i="14"/>
  <c r="I44" i="14" s="1"/>
  <c r="J45" i="14"/>
  <c r="H45" i="14" s="1"/>
  <c r="F45" i="14"/>
  <c r="K45" i="14"/>
  <c r="J46" i="14"/>
  <c r="F46" i="14"/>
  <c r="K46" i="14"/>
  <c r="I46" i="14" s="1"/>
  <c r="J47" i="14"/>
  <c r="F47" i="14"/>
  <c r="K47" i="14"/>
  <c r="J48" i="14"/>
  <c r="H48" i="14" s="1"/>
  <c r="F48" i="14"/>
  <c r="K48" i="14"/>
  <c r="I48" i="14" s="1"/>
  <c r="J49" i="14"/>
  <c r="H49" i="14" s="1"/>
  <c r="F49" i="14"/>
  <c r="K49" i="14"/>
  <c r="J50" i="14"/>
  <c r="F50" i="14"/>
  <c r="K50" i="14"/>
  <c r="I50" i="14" s="1"/>
  <c r="J51" i="14"/>
  <c r="F51" i="14"/>
  <c r="K51" i="14"/>
  <c r="J52" i="14"/>
  <c r="H52" i="14" s="1"/>
  <c r="F52" i="14"/>
  <c r="K52" i="14"/>
  <c r="I52" i="14" s="1"/>
  <c r="J53" i="14"/>
  <c r="H53" i="14" s="1"/>
  <c r="F53" i="14"/>
  <c r="K53" i="14"/>
  <c r="J54" i="14"/>
  <c r="F54" i="14"/>
  <c r="K54" i="14"/>
  <c r="I54" i="14" s="1"/>
  <c r="J55" i="14"/>
  <c r="F55" i="14"/>
  <c r="K55" i="14"/>
  <c r="J56" i="14"/>
  <c r="H56" i="14" s="1"/>
  <c r="F56" i="14"/>
  <c r="K56" i="14"/>
  <c r="I56" i="14" s="1"/>
  <c r="J57" i="14"/>
  <c r="H57" i="14" s="1"/>
  <c r="F57" i="14"/>
  <c r="K57" i="14"/>
  <c r="J58" i="14"/>
  <c r="F58" i="14"/>
  <c r="K58" i="14"/>
  <c r="J59" i="14"/>
  <c r="F59" i="14"/>
  <c r="K59" i="14"/>
  <c r="J60" i="14"/>
  <c r="H60" i="14" s="1"/>
  <c r="F60" i="14"/>
  <c r="K60" i="14"/>
  <c r="I60" i="14" s="1"/>
  <c r="F61" i="14"/>
  <c r="J62" i="14"/>
  <c r="F62" i="14"/>
  <c r="K62" i="14"/>
  <c r="H62" i="14" s="1"/>
  <c r="K75" i="1"/>
  <c r="K72" i="1" s="1"/>
  <c r="F63" i="14"/>
  <c r="L75" i="1"/>
  <c r="L72" i="1" s="1"/>
  <c r="N9" i="8" s="1"/>
  <c r="J64" i="14"/>
  <c r="F64" i="14"/>
  <c r="K64" i="14"/>
  <c r="J65" i="14"/>
  <c r="H65" i="14" s="1"/>
  <c r="F65" i="14"/>
  <c r="K65" i="14"/>
  <c r="J66" i="14"/>
  <c r="F66" i="14"/>
  <c r="J67" i="14"/>
  <c r="F67" i="14"/>
  <c r="K67" i="14"/>
  <c r="I67" i="14" s="1"/>
  <c r="J68" i="14"/>
  <c r="F68" i="14"/>
  <c r="K68" i="14"/>
  <c r="J69" i="14"/>
  <c r="H69" i="14" s="1"/>
  <c r="F69" i="14"/>
  <c r="K69" i="14"/>
  <c r="J70" i="14"/>
  <c r="F70" i="14"/>
  <c r="K70" i="14"/>
  <c r="J71" i="14"/>
  <c r="K71" i="14"/>
  <c r="H71" i="14"/>
  <c r="F71" i="14"/>
  <c r="J72" i="14"/>
  <c r="K72" i="14"/>
  <c r="H72" i="14"/>
  <c r="F72" i="14"/>
  <c r="J73" i="14"/>
  <c r="F73" i="14"/>
  <c r="K73" i="14"/>
  <c r="I73" i="14" s="1"/>
  <c r="J74" i="14"/>
  <c r="F74" i="14"/>
  <c r="K74" i="14"/>
  <c r="J75" i="14"/>
  <c r="K75" i="14"/>
  <c r="F75" i="14"/>
  <c r="J76" i="14"/>
  <c r="H76" i="14" s="1"/>
  <c r="K76" i="14"/>
  <c r="F76" i="14"/>
  <c r="J77" i="14"/>
  <c r="K77" i="14"/>
  <c r="F77" i="14"/>
  <c r="K87" i="1"/>
  <c r="J78" i="14" s="1"/>
  <c r="F78" i="14"/>
  <c r="L87" i="1"/>
  <c r="K78" i="14"/>
  <c r="H78" i="14" s="1"/>
  <c r="J79" i="14"/>
  <c r="F79" i="14"/>
  <c r="H79" i="14" s="1"/>
  <c r="K79" i="14"/>
  <c r="J80" i="14"/>
  <c r="F80" i="14"/>
  <c r="H80" i="14" s="1"/>
  <c r="K80" i="14"/>
  <c r="J81" i="14"/>
  <c r="F81" i="14"/>
  <c r="H81" i="14" s="1"/>
  <c r="K81" i="14"/>
  <c r="K91" i="1"/>
  <c r="J82" i="14"/>
  <c r="F82" i="14"/>
  <c r="H82" i="14" s="1"/>
  <c r="L91" i="1"/>
  <c r="K82" i="14" s="1"/>
  <c r="J83" i="14"/>
  <c r="H83" i="14" s="1"/>
  <c r="F83" i="14"/>
  <c r="K83" i="14"/>
  <c r="J84" i="14"/>
  <c r="H84" i="14" s="1"/>
  <c r="F84" i="14"/>
  <c r="K84" i="14"/>
  <c r="J85" i="14"/>
  <c r="F85" i="14"/>
  <c r="K85" i="14"/>
  <c r="J86" i="14"/>
  <c r="F86" i="14"/>
  <c r="K86" i="14"/>
  <c r="J87" i="14"/>
  <c r="H87" i="14" s="1"/>
  <c r="F87" i="14"/>
  <c r="K87" i="14"/>
  <c r="J88" i="14"/>
  <c r="H88" i="14" s="1"/>
  <c r="F88" i="14"/>
  <c r="K88" i="14"/>
  <c r="J89" i="14"/>
  <c r="F89" i="14"/>
  <c r="K89" i="14"/>
  <c r="J90" i="14"/>
  <c r="F90" i="14"/>
  <c r="K90" i="14"/>
  <c r="K100" i="1"/>
  <c r="J91" i="14" s="1"/>
  <c r="F91" i="14"/>
  <c r="L100" i="1"/>
  <c r="K91" i="14"/>
  <c r="J92" i="14"/>
  <c r="F92" i="14"/>
  <c r="K92" i="14"/>
  <c r="J93" i="14"/>
  <c r="F93" i="14"/>
  <c r="K93" i="14"/>
  <c r="H93" i="14" s="1"/>
  <c r="J94" i="14"/>
  <c r="F94" i="14"/>
  <c r="K94" i="14"/>
  <c r="J95" i="14"/>
  <c r="F95" i="14"/>
  <c r="K95" i="14"/>
  <c r="H95" i="14" s="1"/>
  <c r="J96" i="14"/>
  <c r="F96" i="14"/>
  <c r="K96" i="14"/>
  <c r="J97" i="14"/>
  <c r="F97" i="14"/>
  <c r="K97" i="14"/>
  <c r="H97" i="14" s="1"/>
  <c r="J98" i="14"/>
  <c r="F98" i="14"/>
  <c r="K98" i="14"/>
  <c r="J99" i="14"/>
  <c r="F99" i="14"/>
  <c r="K99" i="14"/>
  <c r="H99" i="14" s="1"/>
  <c r="J100" i="14"/>
  <c r="F100" i="14"/>
  <c r="K100" i="14"/>
  <c r="J101" i="14"/>
  <c r="F101" i="14"/>
  <c r="K101" i="14"/>
  <c r="H101" i="14" s="1"/>
  <c r="J102" i="14"/>
  <c r="F102" i="14"/>
  <c r="K102" i="14"/>
  <c r="J103" i="14"/>
  <c r="F103" i="14"/>
  <c r="K103" i="14"/>
  <c r="H103" i="14" s="1"/>
  <c r="F104" i="14"/>
  <c r="J105" i="14"/>
  <c r="F105" i="14"/>
  <c r="K105" i="14"/>
  <c r="J106" i="14"/>
  <c r="F106" i="14"/>
  <c r="K106" i="14"/>
  <c r="J107" i="14"/>
  <c r="H107" i="14" s="1"/>
  <c r="F107" i="14"/>
  <c r="K107" i="14"/>
  <c r="K9" i="2"/>
  <c r="L9" i="2"/>
  <c r="F108" i="14"/>
  <c r="J109" i="14"/>
  <c r="H109" i="14" s="1"/>
  <c r="F109" i="14"/>
  <c r="K109" i="14"/>
  <c r="J110" i="14"/>
  <c r="F110" i="14"/>
  <c r="K110" i="14"/>
  <c r="J111" i="14"/>
  <c r="F111" i="14"/>
  <c r="K111" i="14"/>
  <c r="K16" i="2"/>
  <c r="J115" i="14" s="1"/>
  <c r="K20" i="2"/>
  <c r="J119" i="14"/>
  <c r="K26" i="2"/>
  <c r="F112" i="14"/>
  <c r="L16" i="2"/>
  <c r="L20" i="2"/>
  <c r="K119" i="14"/>
  <c r="L26" i="2"/>
  <c r="L13" i="2" s="1"/>
  <c r="J113" i="14"/>
  <c r="F113" i="14"/>
  <c r="K113" i="14"/>
  <c r="I113" i="14" s="1"/>
  <c r="J114" i="14"/>
  <c r="F114" i="14"/>
  <c r="H114" i="14" s="1"/>
  <c r="K114" i="14"/>
  <c r="K115" i="14"/>
  <c r="I115" i="14" s="1"/>
  <c r="F115" i="14"/>
  <c r="J116" i="14"/>
  <c r="K116" i="14"/>
  <c r="F116" i="14"/>
  <c r="H116" i="14" s="1"/>
  <c r="J117" i="14"/>
  <c r="K117" i="14"/>
  <c r="I117" i="14" s="1"/>
  <c r="F117" i="14"/>
  <c r="J118" i="14"/>
  <c r="K118" i="14"/>
  <c r="F118" i="14"/>
  <c r="H118" i="14" s="1"/>
  <c r="F119" i="14"/>
  <c r="J120" i="14"/>
  <c r="F120" i="14"/>
  <c r="K120" i="14"/>
  <c r="J121" i="14"/>
  <c r="H121" i="14" s="1"/>
  <c r="F121" i="14"/>
  <c r="K121" i="14"/>
  <c r="J122" i="14"/>
  <c r="F122" i="14"/>
  <c r="K122" i="14"/>
  <c r="J123" i="14"/>
  <c r="H123" i="14" s="1"/>
  <c r="F123" i="14"/>
  <c r="K123" i="14"/>
  <c r="J124" i="14"/>
  <c r="F124" i="14"/>
  <c r="K124" i="14"/>
  <c r="J125" i="14"/>
  <c r="H125" i="14" s="1"/>
  <c r="K125" i="14"/>
  <c r="F125" i="14"/>
  <c r="J126" i="14"/>
  <c r="H126" i="14"/>
  <c r="F126" i="14"/>
  <c r="K126" i="14"/>
  <c r="J127" i="14"/>
  <c r="K127" i="14"/>
  <c r="F127" i="14"/>
  <c r="J128" i="14"/>
  <c r="K128" i="14"/>
  <c r="F128" i="14"/>
  <c r="J129" i="14"/>
  <c r="K129" i="14"/>
  <c r="I129" i="14" s="1"/>
  <c r="F129" i="14"/>
  <c r="K31" i="2"/>
  <c r="J130" i="14" s="1"/>
  <c r="L31" i="2"/>
  <c r="K130" i="14" s="1"/>
  <c r="F130" i="14"/>
  <c r="J131" i="14"/>
  <c r="F131" i="14"/>
  <c r="K131" i="14"/>
  <c r="J132" i="14"/>
  <c r="H132" i="14" s="1"/>
  <c r="K132" i="14"/>
  <c r="F132" i="14"/>
  <c r="J133" i="14"/>
  <c r="H133" i="14"/>
  <c r="F133" i="14"/>
  <c r="K133" i="14"/>
  <c r="J134" i="14"/>
  <c r="H134" i="14"/>
  <c r="F134" i="14"/>
  <c r="K134" i="14"/>
  <c r="J135" i="14"/>
  <c r="K135" i="14"/>
  <c r="I135" i="14" s="1"/>
  <c r="F135" i="14"/>
  <c r="K37" i="2"/>
  <c r="J136" i="14" s="1"/>
  <c r="F136" i="14"/>
  <c r="L37" i="2"/>
  <c r="J137" i="14"/>
  <c r="F137" i="14"/>
  <c r="K137" i="14"/>
  <c r="H137" i="14" s="1"/>
  <c r="J138" i="14"/>
  <c r="F138" i="14"/>
  <c r="K138" i="14"/>
  <c r="J139" i="14"/>
  <c r="F139" i="14"/>
  <c r="K139" i="14"/>
  <c r="H139" i="14" s="1"/>
  <c r="J140" i="14"/>
  <c r="F140" i="14"/>
  <c r="K140" i="14"/>
  <c r="J141" i="14"/>
  <c r="F141" i="14"/>
  <c r="K141" i="14"/>
  <c r="H141" i="14" s="1"/>
  <c r="J142" i="14"/>
  <c r="F142" i="14"/>
  <c r="K142" i="14"/>
  <c r="F143" i="14"/>
  <c r="F144" i="14"/>
  <c r="F145" i="14"/>
  <c r="F146" i="14"/>
  <c r="J147" i="14"/>
  <c r="K147" i="14"/>
  <c r="F147" i="14"/>
  <c r="F148" i="14"/>
  <c r="F149" i="14"/>
  <c r="J150" i="14"/>
  <c r="H150" i="14" s="1"/>
  <c r="F150" i="14"/>
  <c r="K150" i="14"/>
  <c r="J151" i="14"/>
  <c r="H151" i="14" s="1"/>
  <c r="F151" i="14"/>
  <c r="K151" i="14"/>
  <c r="J152" i="14"/>
  <c r="H152" i="14" s="1"/>
  <c r="F152" i="14"/>
  <c r="K152" i="14"/>
  <c r="J153" i="14"/>
  <c r="H153" i="14" s="1"/>
  <c r="F153" i="14"/>
  <c r="K153" i="14"/>
  <c r="J154" i="14"/>
  <c r="H154" i="14" s="1"/>
  <c r="F154" i="14"/>
  <c r="K154" i="14"/>
  <c r="J155" i="14"/>
  <c r="H155" i="14" s="1"/>
  <c r="F155" i="14"/>
  <c r="K155" i="14"/>
  <c r="J156" i="14"/>
  <c r="H156" i="14" s="1"/>
  <c r="F156" i="14"/>
  <c r="K156" i="14"/>
  <c r="J157" i="14"/>
  <c r="H157" i="14" s="1"/>
  <c r="F157" i="14"/>
  <c r="K157" i="14"/>
  <c r="J158" i="14"/>
  <c r="H158" i="14" s="1"/>
  <c r="F158" i="14"/>
  <c r="K158" i="14"/>
  <c r="J159" i="14"/>
  <c r="H159" i="14" s="1"/>
  <c r="F159" i="14"/>
  <c r="K159" i="14"/>
  <c r="J160" i="14"/>
  <c r="H160" i="14" s="1"/>
  <c r="F160" i="14"/>
  <c r="K160" i="14"/>
  <c r="J161" i="14"/>
  <c r="H161" i="14" s="1"/>
  <c r="F161" i="14"/>
  <c r="K161" i="14"/>
  <c r="J162" i="14"/>
  <c r="H162" i="14" s="1"/>
  <c r="F162" i="14"/>
  <c r="K162" i="14"/>
  <c r="J163" i="14"/>
  <c r="H163" i="14" s="1"/>
  <c r="F163" i="14"/>
  <c r="K163" i="14"/>
  <c r="J164" i="14"/>
  <c r="H164" i="14" s="1"/>
  <c r="F164" i="14"/>
  <c r="K164" i="14"/>
  <c r="J165" i="14"/>
  <c r="H165" i="14" s="1"/>
  <c r="F165" i="14"/>
  <c r="K165" i="14"/>
  <c r="J166" i="14"/>
  <c r="H166" i="14" s="1"/>
  <c r="F166" i="14"/>
  <c r="K166" i="14"/>
  <c r="J167" i="14"/>
  <c r="H167" i="14" s="1"/>
  <c r="F167" i="14"/>
  <c r="K167" i="14"/>
  <c r="J168" i="14"/>
  <c r="H168" i="14" s="1"/>
  <c r="F168" i="14"/>
  <c r="K168" i="14"/>
  <c r="J169" i="14"/>
  <c r="H169" i="14" s="1"/>
  <c r="F169" i="14"/>
  <c r="K169" i="14"/>
  <c r="K26" i="10"/>
  <c r="F170" i="14"/>
  <c r="L26" i="10"/>
  <c r="K170" i="14" s="1"/>
  <c r="J171" i="14"/>
  <c r="F171" i="14"/>
  <c r="K171" i="14"/>
  <c r="J172" i="14"/>
  <c r="F172" i="14"/>
  <c r="K172" i="14"/>
  <c r="I172" i="14" s="1"/>
  <c r="J173" i="14"/>
  <c r="F173" i="14"/>
  <c r="K173" i="14"/>
  <c r="J174" i="14"/>
  <c r="H174" i="14" s="1"/>
  <c r="F174" i="14"/>
  <c r="K174" i="14"/>
  <c r="J175" i="14"/>
  <c r="F175" i="14"/>
  <c r="K175" i="14"/>
  <c r="J176" i="14"/>
  <c r="F176" i="14"/>
  <c r="K176" i="14"/>
  <c r="I176" i="14" s="1"/>
  <c r="J177" i="14"/>
  <c r="F177" i="14"/>
  <c r="K177" i="14"/>
  <c r="J178" i="14"/>
  <c r="H178" i="14" s="1"/>
  <c r="F178" i="14"/>
  <c r="K178" i="14"/>
  <c r="J179" i="14"/>
  <c r="F179" i="14"/>
  <c r="K179" i="14"/>
  <c r="J180" i="14"/>
  <c r="F180" i="14"/>
  <c r="K180" i="14"/>
  <c r="I180" i="14" s="1"/>
  <c r="J181" i="14"/>
  <c r="F181" i="14"/>
  <c r="K181" i="14"/>
  <c r="J182" i="14"/>
  <c r="H182" i="14" s="1"/>
  <c r="F182" i="14"/>
  <c r="K182" i="14"/>
  <c r="J183" i="14"/>
  <c r="F183" i="14"/>
  <c r="K183" i="14"/>
  <c r="J184" i="14"/>
  <c r="F184" i="14"/>
  <c r="K184" i="14"/>
  <c r="I184" i="14" s="1"/>
  <c r="J185" i="14"/>
  <c r="F185" i="14"/>
  <c r="K185" i="14"/>
  <c r="J186" i="14"/>
  <c r="H186" i="14" s="1"/>
  <c r="F186" i="14"/>
  <c r="K186" i="14"/>
  <c r="J187" i="14"/>
  <c r="F187" i="14"/>
  <c r="K187" i="14"/>
  <c r="J188" i="14"/>
  <c r="H188" i="14" s="1"/>
  <c r="F188" i="14"/>
  <c r="K188" i="14"/>
  <c r="K45" i="10"/>
  <c r="J189" i="14"/>
  <c r="I189" i="14" s="1"/>
  <c r="F189" i="14"/>
  <c r="L45" i="10"/>
  <c r="K189" i="14"/>
  <c r="J190" i="14"/>
  <c r="F190" i="14"/>
  <c r="K190" i="14"/>
  <c r="H190" i="14"/>
  <c r="J191" i="14"/>
  <c r="F191" i="14"/>
  <c r="K191" i="14"/>
  <c r="H191" i="14"/>
  <c r="J192" i="14"/>
  <c r="F192" i="14"/>
  <c r="K192" i="14"/>
  <c r="H192" i="14"/>
  <c r="J193" i="14"/>
  <c r="F193" i="14"/>
  <c r="K193" i="14"/>
  <c r="H193" i="14"/>
  <c r="J194" i="14"/>
  <c r="F194" i="14"/>
  <c r="K194" i="14"/>
  <c r="H194" i="14"/>
  <c r="K51" i="10"/>
  <c r="J195" i="14"/>
  <c r="I195" i="14" s="1"/>
  <c r="F195" i="14"/>
  <c r="L51" i="10"/>
  <c r="K195" i="14"/>
  <c r="J196" i="14"/>
  <c r="F196" i="14"/>
  <c r="H196" i="14" s="1"/>
  <c r="K196" i="14"/>
  <c r="J197" i="14"/>
  <c r="F197" i="14"/>
  <c r="H197" i="14" s="1"/>
  <c r="K197" i="14"/>
  <c r="J198" i="14"/>
  <c r="F198" i="14"/>
  <c r="H198" i="14" s="1"/>
  <c r="K198" i="14"/>
  <c r="J199" i="14"/>
  <c r="F199" i="14"/>
  <c r="H199" i="14" s="1"/>
  <c r="K199" i="14"/>
  <c r="J200" i="14"/>
  <c r="F200" i="14"/>
  <c r="H200" i="14" s="1"/>
  <c r="K200" i="14"/>
  <c r="J201" i="14"/>
  <c r="F201" i="14"/>
  <c r="H201" i="14" s="1"/>
  <c r="K201" i="14"/>
  <c r="K58" i="10"/>
  <c r="J202" i="14"/>
  <c r="F202" i="14"/>
  <c r="L58" i="10"/>
  <c r="K202" i="14" s="1"/>
  <c r="J203" i="14"/>
  <c r="F203" i="14"/>
  <c r="H203" i="14" s="1"/>
  <c r="K203" i="14"/>
  <c r="J204" i="14"/>
  <c r="F204" i="14"/>
  <c r="H204" i="14" s="1"/>
  <c r="K204" i="14"/>
  <c r="J205" i="14"/>
  <c r="F205" i="14"/>
  <c r="H205" i="14" s="1"/>
  <c r="K205" i="14"/>
  <c r="J206" i="14"/>
  <c r="F206" i="14"/>
  <c r="H206" i="14" s="1"/>
  <c r="K206" i="14"/>
  <c r="J207" i="14"/>
  <c r="F207" i="14"/>
  <c r="H207" i="14" s="1"/>
  <c r="K207" i="14"/>
  <c r="J208" i="14"/>
  <c r="F208" i="14"/>
  <c r="H208" i="14" s="1"/>
  <c r="K208" i="14"/>
  <c r="K65" i="10"/>
  <c r="J209" i="14"/>
  <c r="I209" i="14" s="1"/>
  <c r="F209" i="14"/>
  <c r="L65" i="10"/>
  <c r="K209" i="14"/>
  <c r="J210" i="14"/>
  <c r="F210" i="14"/>
  <c r="K210" i="14"/>
  <c r="H210" i="14"/>
  <c r="J211" i="14"/>
  <c r="F211" i="14"/>
  <c r="K211" i="14"/>
  <c r="H211" i="14"/>
  <c r="J212" i="14"/>
  <c r="F212" i="14"/>
  <c r="K212" i="14"/>
  <c r="H212" i="14"/>
  <c r="K70" i="10"/>
  <c r="J213" i="14" s="1"/>
  <c r="F213" i="14"/>
  <c r="L70" i="10"/>
  <c r="J214" i="14"/>
  <c r="F214" i="14"/>
  <c r="H214" i="14" s="1"/>
  <c r="K214" i="14"/>
  <c r="J215" i="14"/>
  <c r="F215" i="14"/>
  <c r="K215" i="14"/>
  <c r="J216" i="14"/>
  <c r="F216" i="14"/>
  <c r="H216" i="14" s="1"/>
  <c r="K216" i="14"/>
  <c r="J217" i="14"/>
  <c r="F217" i="14"/>
  <c r="K217" i="14"/>
  <c r="J218" i="14"/>
  <c r="F218" i="14"/>
  <c r="H218" i="14" s="1"/>
  <c r="K218" i="14"/>
  <c r="J219" i="14"/>
  <c r="F219" i="14"/>
  <c r="K219" i="14"/>
  <c r="K77" i="10"/>
  <c r="J220" i="14"/>
  <c r="I220" i="14" s="1"/>
  <c r="F220" i="14"/>
  <c r="L77" i="10"/>
  <c r="K220" i="14"/>
  <c r="J221" i="14"/>
  <c r="F221" i="14"/>
  <c r="K221" i="14"/>
  <c r="H221" i="14"/>
  <c r="J222" i="14"/>
  <c r="F222" i="14"/>
  <c r="K222" i="14"/>
  <c r="H222" i="14"/>
  <c r="J223" i="14"/>
  <c r="F223" i="14"/>
  <c r="K223" i="14"/>
  <c r="H223" i="14"/>
  <c r="J224" i="14"/>
  <c r="F224" i="14"/>
  <c r="K224" i="14"/>
  <c r="H224" i="14"/>
  <c r="J225" i="14"/>
  <c r="F225" i="14"/>
  <c r="K225" i="14"/>
  <c r="H225" i="14"/>
  <c r="J226" i="14"/>
  <c r="F226" i="14"/>
  <c r="K226" i="14"/>
  <c r="H226" i="14"/>
  <c r="J227" i="14"/>
  <c r="F227" i="14"/>
  <c r="K227" i="14"/>
  <c r="H227" i="14"/>
  <c r="J228" i="14"/>
  <c r="F228" i="14"/>
  <c r="K228" i="14"/>
  <c r="H228" i="14"/>
  <c r="J229" i="14"/>
  <c r="F229" i="14"/>
  <c r="K229" i="14"/>
  <c r="H229" i="14"/>
  <c r="J230" i="14"/>
  <c r="F230" i="14"/>
  <c r="K230" i="14"/>
  <c r="H230" i="14"/>
  <c r="J231" i="14"/>
  <c r="F231" i="14"/>
  <c r="K231" i="14"/>
  <c r="H231" i="14"/>
  <c r="J232" i="14"/>
  <c r="F232" i="14"/>
  <c r="K232" i="14"/>
  <c r="H232" i="14"/>
  <c r="J233" i="14"/>
  <c r="F233" i="14"/>
  <c r="K233" i="14"/>
  <c r="H233" i="14"/>
  <c r="J234" i="14"/>
  <c r="F234" i="14"/>
  <c r="K234" i="14"/>
  <c r="H234" i="14"/>
  <c r="K93" i="10"/>
  <c r="J235" i="14" s="1"/>
  <c r="F235" i="14"/>
  <c r="L93" i="10"/>
  <c r="K235" i="14"/>
  <c r="H235" i="14" s="1"/>
  <c r="J236" i="14"/>
  <c r="F236" i="14"/>
  <c r="K236" i="14"/>
  <c r="J237" i="14"/>
  <c r="H237" i="14" s="1"/>
  <c r="F237" i="14"/>
  <c r="K237" i="14"/>
  <c r="J238" i="14"/>
  <c r="F238" i="14"/>
  <c r="K238" i="14"/>
  <c r="J239" i="14"/>
  <c r="F239" i="14"/>
  <c r="K239" i="14"/>
  <c r="J240" i="14"/>
  <c r="F240" i="14"/>
  <c r="K240" i="14"/>
  <c r="J241" i="14"/>
  <c r="H241" i="14" s="1"/>
  <c r="F241" i="14"/>
  <c r="K241" i="14"/>
  <c r="J242" i="14"/>
  <c r="F242" i="14"/>
  <c r="K242" i="14"/>
  <c r="J243" i="14"/>
  <c r="F243" i="14"/>
  <c r="K243" i="14"/>
  <c r="J244" i="14"/>
  <c r="F244" i="14"/>
  <c r="K244" i="14"/>
  <c r="J245" i="14"/>
  <c r="H245" i="14" s="1"/>
  <c r="F245" i="14"/>
  <c r="K245" i="14"/>
  <c r="J246" i="14"/>
  <c r="F246" i="14"/>
  <c r="K246" i="14"/>
  <c r="J247" i="14"/>
  <c r="F247" i="14"/>
  <c r="K247" i="14"/>
  <c r="J248" i="14"/>
  <c r="F248" i="14"/>
  <c r="K248" i="14"/>
  <c r="J249" i="14"/>
  <c r="H249" i="14" s="1"/>
  <c r="F249" i="14"/>
  <c r="K249" i="14"/>
  <c r="J250" i="14"/>
  <c r="F250" i="14"/>
  <c r="K250" i="14"/>
  <c r="J251" i="14"/>
  <c r="F251" i="14"/>
  <c r="K251" i="14"/>
  <c r="J252" i="14"/>
  <c r="F252" i="14"/>
  <c r="K252" i="14"/>
  <c r="J253" i="14"/>
  <c r="H253" i="14" s="1"/>
  <c r="F253" i="14"/>
  <c r="K253" i="14"/>
  <c r="K112" i="10"/>
  <c r="J254" i="14" s="1"/>
  <c r="F254" i="14"/>
  <c r="L112" i="10"/>
  <c r="K254" i="14" s="1"/>
  <c r="J255" i="14"/>
  <c r="F255" i="14"/>
  <c r="H255" i="14" s="1"/>
  <c r="K255" i="14"/>
  <c r="J256" i="14"/>
  <c r="F256" i="14"/>
  <c r="H256" i="14" s="1"/>
  <c r="K256" i="14"/>
  <c r="J257" i="14"/>
  <c r="F257" i="14"/>
  <c r="H257" i="14" s="1"/>
  <c r="K257" i="14"/>
  <c r="K116" i="10"/>
  <c r="J258" i="14"/>
  <c r="F258" i="14"/>
  <c r="L116" i="10"/>
  <c r="K258" i="14"/>
  <c r="J259" i="14"/>
  <c r="F259" i="14"/>
  <c r="K259" i="14"/>
  <c r="H259" i="14"/>
  <c r="J260" i="14"/>
  <c r="F260" i="14"/>
  <c r="K260" i="14"/>
  <c r="H260" i="14"/>
  <c r="J261" i="14"/>
  <c r="F261" i="14"/>
  <c r="K261" i="14"/>
  <c r="H261" i="14"/>
  <c r="J262" i="14"/>
  <c r="F262" i="14"/>
  <c r="K262" i="14"/>
  <c r="H262" i="14"/>
  <c r="K121" i="10"/>
  <c r="J263" i="14" s="1"/>
  <c r="F263" i="14"/>
  <c r="L121" i="10"/>
  <c r="K263" i="14" s="1"/>
  <c r="H263" i="14" s="1"/>
  <c r="J264" i="14"/>
  <c r="F264" i="14"/>
  <c r="H264" i="14" s="1"/>
  <c r="K264" i="14"/>
  <c r="J265" i="14"/>
  <c r="F265" i="14"/>
  <c r="K265" i="14"/>
  <c r="I265" i="14" s="1"/>
  <c r="J266" i="14"/>
  <c r="F266" i="14"/>
  <c r="H266" i="14" s="1"/>
  <c r="K266" i="14"/>
  <c r="J267" i="14"/>
  <c r="F267" i="14"/>
  <c r="K267" i="14"/>
  <c r="I267" i="14" s="1"/>
  <c r="J268" i="14"/>
  <c r="F268" i="14"/>
  <c r="H268" i="14" s="1"/>
  <c r="K268" i="14"/>
  <c r="K127" i="10"/>
  <c r="J269" i="14"/>
  <c r="F269" i="14"/>
  <c r="L127" i="10"/>
  <c r="K269" i="14" s="1"/>
  <c r="J270" i="14"/>
  <c r="F270" i="14"/>
  <c r="H270" i="14" s="1"/>
  <c r="K270" i="14"/>
  <c r="J271" i="14"/>
  <c r="F271" i="14"/>
  <c r="H271" i="14" s="1"/>
  <c r="K271" i="14"/>
  <c r="J272" i="14"/>
  <c r="F272" i="14"/>
  <c r="H272" i="14" s="1"/>
  <c r="K272" i="14"/>
  <c r="J273" i="14"/>
  <c r="F273" i="14"/>
  <c r="H273" i="14" s="1"/>
  <c r="K273" i="14"/>
  <c r="J274" i="14"/>
  <c r="F274" i="14"/>
  <c r="H274" i="14" s="1"/>
  <c r="K274" i="14"/>
  <c r="K134" i="10"/>
  <c r="J275" i="14"/>
  <c r="F275" i="14"/>
  <c r="H275" i="14" s="1"/>
  <c r="L134" i="10"/>
  <c r="K275" i="14" s="1"/>
  <c r="J276" i="14"/>
  <c r="H276" i="14" s="1"/>
  <c r="F276" i="14"/>
  <c r="K276" i="14"/>
  <c r="J277" i="14"/>
  <c r="F277" i="14"/>
  <c r="K277" i="14"/>
  <c r="K137" i="10"/>
  <c r="J278" i="14" s="1"/>
  <c r="H278" i="14" s="1"/>
  <c r="F278" i="14"/>
  <c r="L137" i="10"/>
  <c r="K278" i="14"/>
  <c r="J279" i="14"/>
  <c r="H279" i="14" s="1"/>
  <c r="F279" i="14"/>
  <c r="K279" i="14"/>
  <c r="J280" i="14"/>
  <c r="F280" i="14"/>
  <c r="K280" i="14"/>
  <c r="J281" i="14"/>
  <c r="F281" i="14"/>
  <c r="K281" i="14"/>
  <c r="J282" i="14"/>
  <c r="F282" i="14"/>
  <c r="K282" i="14"/>
  <c r="J283" i="14"/>
  <c r="H283" i="14" s="1"/>
  <c r="F283" i="14"/>
  <c r="K283" i="14"/>
  <c r="J284" i="14"/>
  <c r="F284" i="14"/>
  <c r="K284" i="14"/>
  <c r="F285" i="14"/>
  <c r="J286" i="14"/>
  <c r="F286" i="14"/>
  <c r="K286" i="14"/>
  <c r="J287" i="14"/>
  <c r="F287" i="14"/>
  <c r="K287" i="14"/>
  <c r="J288" i="14"/>
  <c r="F288" i="14"/>
  <c r="K288" i="14"/>
  <c r="J289" i="14"/>
  <c r="F289" i="14"/>
  <c r="K289" i="14"/>
  <c r="F290" i="14"/>
  <c r="F291" i="14"/>
  <c r="F292" i="14"/>
  <c r="J293" i="14"/>
  <c r="H293" i="14"/>
  <c r="F293" i="14"/>
  <c r="K293" i="14"/>
  <c r="J294" i="14"/>
  <c r="H294" i="14"/>
  <c r="F294" i="14"/>
  <c r="K294" i="14"/>
  <c r="J295" i="14"/>
  <c r="H295" i="14"/>
  <c r="F295" i="14"/>
  <c r="K295" i="14"/>
  <c r="J296" i="14"/>
  <c r="H296" i="14"/>
  <c r="F296" i="14"/>
  <c r="K296" i="14"/>
  <c r="J297" i="14"/>
  <c r="H297" i="14"/>
  <c r="F297" i="14"/>
  <c r="K297" i="14"/>
  <c r="F298" i="14"/>
  <c r="J299" i="14"/>
  <c r="F299" i="14"/>
  <c r="K299" i="14"/>
  <c r="J300" i="14"/>
  <c r="H300" i="14"/>
  <c r="F300" i="14"/>
  <c r="K300" i="14"/>
  <c r="J301" i="14"/>
  <c r="H301" i="14"/>
  <c r="F301" i="14"/>
  <c r="K301" i="14"/>
  <c r="F302" i="14"/>
  <c r="F303" i="14"/>
  <c r="F304" i="14"/>
  <c r="J305" i="14"/>
  <c r="F305" i="14"/>
  <c r="K305" i="14"/>
  <c r="H305" i="14" s="1"/>
  <c r="J306" i="14"/>
  <c r="F306" i="14"/>
  <c r="K306" i="14"/>
  <c r="J307" i="14"/>
  <c r="F307" i="14"/>
  <c r="K307" i="14"/>
  <c r="H307" i="14" s="1"/>
  <c r="F308" i="14"/>
  <c r="J309" i="14"/>
  <c r="F309" i="14"/>
  <c r="H309" i="14" s="1"/>
  <c r="K309" i="14"/>
  <c r="J310" i="14"/>
  <c r="F310" i="14"/>
  <c r="K310" i="14"/>
  <c r="H310" i="14" s="1"/>
  <c r="J311" i="14"/>
  <c r="F311" i="14"/>
  <c r="K311" i="14"/>
  <c r="J312" i="14"/>
  <c r="I312" i="14" s="1"/>
  <c r="F312" i="14"/>
  <c r="K312" i="14"/>
  <c r="J313" i="14"/>
  <c r="F313" i="14"/>
  <c r="H313" i="14" s="1"/>
  <c r="K313" i="14"/>
  <c r="F314" i="14"/>
  <c r="F315" i="14"/>
  <c r="F316" i="14"/>
  <c r="F317" i="14"/>
  <c r="F318" i="14"/>
  <c r="J319" i="14"/>
  <c r="F319" i="14"/>
  <c r="H319" i="14" s="1"/>
  <c r="K319" i="14"/>
  <c r="J320" i="14"/>
  <c r="F320" i="14"/>
  <c r="F321" i="14"/>
  <c r="K321" i="14"/>
  <c r="F322" i="14"/>
  <c r="F323" i="14"/>
  <c r="K323" i="14"/>
  <c r="F324" i="14"/>
  <c r="K324" i="14"/>
  <c r="H324" i="14"/>
  <c r="F325" i="14"/>
  <c r="H325" i="14" s="1"/>
  <c r="K325" i="14"/>
  <c r="F326" i="14"/>
  <c r="K326" i="14"/>
  <c r="I326" i="14" s="1"/>
  <c r="F327" i="14"/>
  <c r="K327" i="14"/>
  <c r="F328" i="14"/>
  <c r="F329" i="14"/>
  <c r="K329" i="14"/>
  <c r="H329" i="14" s="1"/>
  <c r="F330" i="14"/>
  <c r="K330" i="14"/>
  <c r="H330" i="14"/>
  <c r="F331" i="14"/>
  <c r="H331" i="14" s="1"/>
  <c r="K331" i="14"/>
  <c r="F332" i="14"/>
  <c r="K332" i="14"/>
  <c r="I332" i="14" s="1"/>
  <c r="F333" i="14"/>
  <c r="K333" i="14"/>
  <c r="H333" i="14" s="1"/>
  <c r="F334" i="14"/>
  <c r="K334" i="14"/>
  <c r="H334" i="14"/>
  <c r="F335" i="14"/>
  <c r="F336" i="14"/>
  <c r="F337" i="14"/>
  <c r="F338" i="14"/>
  <c r="H338" i="14" s="1"/>
  <c r="K338" i="14"/>
  <c r="F339" i="14"/>
  <c r="K339" i="14"/>
  <c r="H339" i="14"/>
  <c r="F340" i="14"/>
  <c r="K340" i="14"/>
  <c r="H340" i="14"/>
  <c r="F341" i="14"/>
  <c r="H341" i="14" s="1"/>
  <c r="K341" i="14"/>
  <c r="F342" i="14"/>
  <c r="H342" i="14" s="1"/>
  <c r="K342" i="14"/>
  <c r="F343" i="14"/>
  <c r="F344" i="14"/>
  <c r="K344" i="14"/>
  <c r="I344" i="14" s="1"/>
  <c r="F345" i="14"/>
  <c r="K345" i="14"/>
  <c r="H345" i="14" s="1"/>
  <c r="F346" i="14"/>
  <c r="K346" i="14"/>
  <c r="H346" i="14"/>
  <c r="F347" i="14"/>
  <c r="F348" i="14"/>
  <c r="F349" i="14"/>
  <c r="F350" i="14"/>
  <c r="H350" i="14" s="1"/>
  <c r="K350" i="14"/>
  <c r="F351" i="14"/>
  <c r="K351" i="14"/>
  <c r="H351" i="14"/>
  <c r="F352" i="14"/>
  <c r="K352" i="14"/>
  <c r="H352" i="14"/>
  <c r="F353" i="14"/>
  <c r="F354" i="14"/>
  <c r="K354" i="14"/>
  <c r="H354" i="14"/>
  <c r="F355" i="14"/>
  <c r="H355" i="14" s="1"/>
  <c r="K355" i="14"/>
  <c r="F356" i="14"/>
  <c r="H356" i="14" s="1"/>
  <c r="K356" i="14"/>
  <c r="F357" i="14"/>
  <c r="K357" i="14"/>
  <c r="H357" i="14"/>
  <c r="F358" i="14"/>
  <c r="K358" i="14"/>
  <c r="H358" i="14"/>
  <c r="F359" i="14"/>
  <c r="F360" i="14"/>
  <c r="F361" i="14"/>
  <c r="F362" i="14"/>
  <c r="F363" i="14"/>
  <c r="F364" i="14"/>
  <c r="K364" i="14"/>
  <c r="H364" i="14"/>
  <c r="F365" i="14"/>
  <c r="H365" i="14" s="1"/>
  <c r="K365" i="14"/>
  <c r="F366" i="14"/>
  <c r="H366" i="14" s="1"/>
  <c r="K366" i="14"/>
  <c r="F367" i="14"/>
  <c r="J368" i="14"/>
  <c r="F368" i="14"/>
  <c r="K368" i="14"/>
  <c r="J369" i="14"/>
  <c r="F369" i="14"/>
  <c r="K369" i="14"/>
  <c r="H369" i="14" s="1"/>
  <c r="J370" i="14"/>
  <c r="F370" i="14"/>
  <c r="K370" i="14"/>
  <c r="J371" i="14"/>
  <c r="I371" i="14" s="1"/>
  <c r="F371" i="14"/>
  <c r="K371" i="14"/>
  <c r="J372" i="14"/>
  <c r="F372" i="14"/>
  <c r="H372" i="14" s="1"/>
  <c r="K372" i="14"/>
  <c r="J373" i="14"/>
  <c r="F373" i="14"/>
  <c r="K373" i="14"/>
  <c r="H373" i="14" s="1"/>
  <c r="J374" i="14"/>
  <c r="F374" i="14"/>
  <c r="K374" i="14"/>
  <c r="J375" i="14"/>
  <c r="I375" i="14" s="1"/>
  <c r="F375" i="14"/>
  <c r="K375" i="14"/>
  <c r="J376" i="14"/>
  <c r="F376" i="14"/>
  <c r="H376" i="14" s="1"/>
  <c r="K376" i="14"/>
  <c r="F377" i="14"/>
  <c r="J378" i="14"/>
  <c r="F378" i="14"/>
  <c r="K378" i="14"/>
  <c r="J379" i="14"/>
  <c r="F379" i="14"/>
  <c r="K379" i="14"/>
  <c r="I379" i="14" s="1"/>
  <c r="J380" i="14"/>
  <c r="F380" i="14"/>
  <c r="K380" i="14"/>
  <c r="J381" i="14"/>
  <c r="I381" i="14" s="1"/>
  <c r="F381" i="14"/>
  <c r="K381" i="14"/>
  <c r="J382" i="14"/>
  <c r="F382" i="14"/>
  <c r="H382" i="14" s="1"/>
  <c r="K382" i="14"/>
  <c r="J383" i="14"/>
  <c r="F383" i="14"/>
  <c r="K383" i="14"/>
  <c r="F384" i="14"/>
  <c r="J385" i="14"/>
  <c r="F385" i="14"/>
  <c r="K385" i="14"/>
  <c r="H385" i="14" s="1"/>
  <c r="J386" i="14"/>
  <c r="F386" i="14"/>
  <c r="K386" i="14"/>
  <c r="R2" i="4"/>
  <c r="W2" i="4"/>
  <c r="AG2" i="4"/>
  <c r="T2" i="4"/>
  <c r="S2" i="4"/>
  <c r="F22" i="4" s="1"/>
  <c r="P2" i="4"/>
  <c r="Q2" i="4"/>
  <c r="U2" i="4"/>
  <c r="Z2" i="4"/>
  <c r="AA2" i="4"/>
  <c r="AB2" i="4"/>
  <c r="AC2" i="4"/>
  <c r="AD2" i="4"/>
  <c r="AE2" i="4"/>
  <c r="AF2" i="4"/>
  <c r="AI2" i="4"/>
  <c r="AH2" i="4"/>
  <c r="O40" i="8"/>
  <c r="M40" i="8"/>
  <c r="P40" i="8"/>
  <c r="O7" i="8"/>
  <c r="O32" i="8"/>
  <c r="M32" i="8"/>
  <c r="N32" i="8"/>
  <c r="P32" i="8"/>
  <c r="Q32" i="8"/>
  <c r="R32" i="8"/>
  <c r="S32" i="8"/>
  <c r="T32" i="8"/>
  <c r="U32" i="8"/>
  <c r="V32" i="8"/>
  <c r="W32" i="8"/>
  <c r="C37" i="4"/>
  <c r="Y32" i="8"/>
  <c r="Z32" i="8"/>
  <c r="AA32" i="8"/>
  <c r="AB32" i="8"/>
  <c r="AD32" i="8"/>
  <c r="AE32" i="8"/>
  <c r="AG32" i="8"/>
  <c r="AH32" i="8"/>
  <c r="AI32" i="8"/>
  <c r="AJ32" i="8"/>
  <c r="O36" i="8"/>
  <c r="O41" i="8"/>
  <c r="L41" i="8" s="1"/>
  <c r="B41" i="8" s="1"/>
  <c r="P41" i="8"/>
  <c r="M41" i="8"/>
  <c r="N41" i="8"/>
  <c r="M42" i="8"/>
  <c r="O42" i="8"/>
  <c r="P42" i="8"/>
  <c r="N42" i="8"/>
  <c r="L42" i="8" s="1"/>
  <c r="B42" i="8" s="1"/>
  <c r="Q42" i="8"/>
  <c r="N43" i="8"/>
  <c r="O43" i="8"/>
  <c r="P43" i="8"/>
  <c r="M43" i="8"/>
  <c r="L44" i="8"/>
  <c r="S45" i="8"/>
  <c r="V45" i="8"/>
  <c r="W45" i="8"/>
  <c r="X45" i="8"/>
  <c r="M45" i="8"/>
  <c r="O45" i="8"/>
  <c r="P45" i="8"/>
  <c r="N45" i="8"/>
  <c r="T45" i="8"/>
  <c r="N46" i="8"/>
  <c r="M46" i="8"/>
  <c r="L46" i="8"/>
  <c r="B46" i="8" s="1"/>
  <c r="O6" i="8"/>
  <c r="P6" i="8"/>
  <c r="M9" i="8"/>
  <c r="O9" i="8"/>
  <c r="M10" i="8"/>
  <c r="N10" i="8"/>
  <c r="M11" i="8"/>
  <c r="L11" i="8" s="1"/>
  <c r="B11" i="8" s="1"/>
  <c r="N12" i="8"/>
  <c r="N13" i="8"/>
  <c r="N14" i="8"/>
  <c r="N15" i="8"/>
  <c r="N16" i="8"/>
  <c r="N17" i="8"/>
  <c r="N18" i="8"/>
  <c r="N19" i="8"/>
  <c r="N20" i="8"/>
  <c r="N21" i="8"/>
  <c r="N22" i="8"/>
  <c r="N23" i="8"/>
  <c r="N24" i="8"/>
  <c r="N25" i="8"/>
  <c r="N26" i="8"/>
  <c r="N27" i="8"/>
  <c r="O27" i="8"/>
  <c r="M28" i="8"/>
  <c r="N28" i="8"/>
  <c r="S30" i="8"/>
  <c r="W30" i="8"/>
  <c r="M37" i="8"/>
  <c r="N37" i="8"/>
  <c r="L37" i="8"/>
  <c r="R2" i="1"/>
  <c r="Q2" i="1"/>
  <c r="R2" i="2"/>
  <c r="Q2" i="2"/>
  <c r="L50" i="8"/>
  <c r="B50" i="8" s="1"/>
  <c r="B57" i="14"/>
  <c r="B56" i="14"/>
  <c r="B55" i="14"/>
  <c r="B54" i="14"/>
  <c r="B53" i="14"/>
  <c r="B45" i="14"/>
  <c r="B44"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4" i="14"/>
  <c r="B13" i="14"/>
  <c r="B10" i="14"/>
  <c r="B8" i="14"/>
  <c r="B7" i="14"/>
  <c r="B6" i="14"/>
  <c r="B5" i="14"/>
  <c r="B2" i="14"/>
  <c r="F9" i="4"/>
  <c r="I4" i="14"/>
  <c r="I5" i="14"/>
  <c r="I7" i="14"/>
  <c r="I8" i="14"/>
  <c r="I9" i="14"/>
  <c r="I12" i="14"/>
  <c r="I13" i="14"/>
  <c r="I14" i="14"/>
  <c r="I15" i="14"/>
  <c r="I16" i="14"/>
  <c r="I17" i="14"/>
  <c r="I18" i="14"/>
  <c r="I19" i="14"/>
  <c r="I20" i="14"/>
  <c r="I22" i="14"/>
  <c r="I23" i="14"/>
  <c r="I24" i="14"/>
  <c r="I25" i="14"/>
  <c r="I26" i="14"/>
  <c r="I27" i="14"/>
  <c r="I28" i="14"/>
  <c r="I30" i="14"/>
  <c r="I32" i="14"/>
  <c r="I36" i="14"/>
  <c r="I37" i="14"/>
  <c r="I38" i="14"/>
  <c r="I40" i="14"/>
  <c r="I41" i="14"/>
  <c r="I42" i="14"/>
  <c r="I45" i="14"/>
  <c r="I47" i="14"/>
  <c r="I49" i="14"/>
  <c r="I51" i="14"/>
  <c r="I53" i="14"/>
  <c r="I55" i="14"/>
  <c r="I57" i="14"/>
  <c r="I58" i="14"/>
  <c r="I59" i="14"/>
  <c r="I62" i="14"/>
  <c r="I64" i="14"/>
  <c r="I65" i="14"/>
  <c r="I68" i="14"/>
  <c r="I70" i="14"/>
  <c r="I71" i="14"/>
  <c r="I72" i="14"/>
  <c r="I74" i="14"/>
  <c r="I76" i="14"/>
  <c r="I79" i="14"/>
  <c r="I80" i="14"/>
  <c r="I81" i="14"/>
  <c r="I83" i="14"/>
  <c r="I84" i="14"/>
  <c r="I86" i="14"/>
  <c r="I87" i="14"/>
  <c r="I88" i="14"/>
  <c r="I90" i="14"/>
  <c r="I93" i="14"/>
  <c r="I95" i="14"/>
  <c r="I97" i="14"/>
  <c r="I99" i="14"/>
  <c r="I101" i="14"/>
  <c r="I103" i="14"/>
  <c r="I105" i="14"/>
  <c r="I106" i="14"/>
  <c r="I107" i="14"/>
  <c r="I109" i="14"/>
  <c r="I110" i="14"/>
  <c r="I111" i="14"/>
  <c r="I114" i="14"/>
  <c r="I116" i="14"/>
  <c r="I118" i="14"/>
  <c r="I121" i="14"/>
  <c r="I125" i="14"/>
  <c r="I126" i="14"/>
  <c r="I127" i="14"/>
  <c r="I133" i="14"/>
  <c r="I134" i="14"/>
  <c r="I137" i="14"/>
  <c r="I141" i="14"/>
  <c r="I147" i="14"/>
  <c r="I150" i="14"/>
  <c r="I151" i="14"/>
  <c r="I152" i="14"/>
  <c r="I153" i="14"/>
  <c r="I154" i="14"/>
  <c r="I155" i="14"/>
  <c r="I156" i="14"/>
  <c r="I157" i="14"/>
  <c r="I158" i="14"/>
  <c r="I159" i="14"/>
  <c r="I160" i="14"/>
  <c r="I161" i="14"/>
  <c r="I162" i="14"/>
  <c r="I163" i="14"/>
  <c r="I164" i="14"/>
  <c r="I165" i="14"/>
  <c r="I166" i="14"/>
  <c r="I167" i="14"/>
  <c r="I168" i="14"/>
  <c r="I169" i="14"/>
  <c r="I171" i="14"/>
  <c r="I173" i="14"/>
  <c r="I174" i="14"/>
  <c r="I175" i="14"/>
  <c r="I177" i="14"/>
  <c r="I178" i="14"/>
  <c r="I179" i="14"/>
  <c r="I181" i="14"/>
  <c r="I182" i="14"/>
  <c r="I183" i="14"/>
  <c r="I185" i="14"/>
  <c r="I186" i="14"/>
  <c r="I187" i="14"/>
  <c r="I188" i="14"/>
  <c r="I190" i="14"/>
  <c r="I191" i="14"/>
  <c r="I192" i="14"/>
  <c r="I193" i="14"/>
  <c r="I194" i="14"/>
  <c r="I196" i="14"/>
  <c r="I197" i="14"/>
  <c r="I198" i="14"/>
  <c r="I199" i="14"/>
  <c r="I200" i="14"/>
  <c r="I201" i="14"/>
  <c r="I203" i="14"/>
  <c r="I204" i="14"/>
  <c r="I205" i="14"/>
  <c r="I206" i="14"/>
  <c r="I207" i="14"/>
  <c r="I208" i="14"/>
  <c r="I210" i="14"/>
  <c r="I211" i="14"/>
  <c r="I212" i="14"/>
  <c r="I214" i="14"/>
  <c r="I215" i="14"/>
  <c r="I216" i="14"/>
  <c r="I217" i="14"/>
  <c r="I218" i="14"/>
  <c r="I219" i="14"/>
  <c r="I221" i="14"/>
  <c r="I222" i="14"/>
  <c r="I223" i="14"/>
  <c r="I224" i="14"/>
  <c r="I225" i="14"/>
  <c r="I226" i="14"/>
  <c r="I227" i="14"/>
  <c r="I228" i="14"/>
  <c r="I229" i="14"/>
  <c r="I230" i="14"/>
  <c r="I231" i="14"/>
  <c r="I232" i="14"/>
  <c r="I233" i="14"/>
  <c r="I234" i="14"/>
  <c r="I236" i="14"/>
  <c r="I237" i="14"/>
  <c r="I238" i="14"/>
  <c r="I239" i="14"/>
  <c r="I240" i="14"/>
  <c r="I241" i="14"/>
  <c r="I242" i="14"/>
  <c r="I243" i="14"/>
  <c r="I244" i="14"/>
  <c r="I245" i="14"/>
  <c r="I246" i="14"/>
  <c r="I247" i="14"/>
  <c r="I248" i="14"/>
  <c r="I249" i="14"/>
  <c r="I250" i="14"/>
  <c r="I251" i="14"/>
  <c r="I252" i="14"/>
  <c r="I253" i="14"/>
  <c r="I255" i="14"/>
  <c r="I256" i="14"/>
  <c r="I257" i="14"/>
  <c r="I259" i="14"/>
  <c r="I260" i="14"/>
  <c r="I261" i="14"/>
  <c r="I262" i="14"/>
  <c r="I264" i="14"/>
  <c r="I266" i="14"/>
  <c r="I268" i="14"/>
  <c r="I270" i="14"/>
  <c r="I271" i="14"/>
  <c r="I272" i="14"/>
  <c r="I273" i="14"/>
  <c r="I274" i="14"/>
  <c r="I276" i="14"/>
  <c r="I277" i="14"/>
  <c r="I279" i="14"/>
  <c r="I281" i="14"/>
  <c r="I283" i="14"/>
  <c r="I286" i="14"/>
  <c r="I287" i="14"/>
  <c r="I288" i="14"/>
  <c r="I289" i="14"/>
  <c r="I293" i="14"/>
  <c r="I294" i="14"/>
  <c r="I295" i="14"/>
  <c r="I296" i="14"/>
  <c r="I297" i="14"/>
  <c r="I300" i="14"/>
  <c r="I301" i="14"/>
  <c r="I305" i="14"/>
  <c r="I307" i="14"/>
  <c r="I309" i="14"/>
  <c r="I311" i="14"/>
  <c r="I313" i="14"/>
  <c r="I319" i="14"/>
  <c r="I324" i="14"/>
  <c r="I325" i="14"/>
  <c r="I330" i="14"/>
  <c r="I331" i="14"/>
  <c r="I333" i="14"/>
  <c r="I334" i="14"/>
  <c r="I338" i="14"/>
  <c r="I339" i="14"/>
  <c r="I340" i="14"/>
  <c r="I341" i="14"/>
  <c r="I342" i="14"/>
  <c r="I346" i="14"/>
  <c r="I350" i="14"/>
  <c r="I351" i="14"/>
  <c r="I352" i="14"/>
  <c r="I354" i="14"/>
  <c r="I355" i="14"/>
  <c r="I356" i="14"/>
  <c r="I357" i="14"/>
  <c r="I358" i="14"/>
  <c r="I364" i="14"/>
  <c r="I365" i="14"/>
  <c r="I366" i="14"/>
  <c r="I368" i="14"/>
  <c r="I369" i="14"/>
  <c r="I370" i="14"/>
  <c r="I372" i="14"/>
  <c r="I373" i="14"/>
  <c r="I374" i="14"/>
  <c r="I376" i="14"/>
  <c r="I378" i="14"/>
  <c r="I380" i="14"/>
  <c r="I382" i="14"/>
  <c r="I386" i="14"/>
  <c r="I2" i="14"/>
  <c r="M2" i="4"/>
  <c r="M1" i="4"/>
  <c r="D49" i="4"/>
  <c r="D47" i="4"/>
  <c r="E17" i="4"/>
  <c r="D39" i="4"/>
  <c r="K16" i="6"/>
  <c r="J285" i="14"/>
  <c r="I285" i="14" s="1"/>
  <c r="L16" i="6"/>
  <c r="L22" i="6" s="1"/>
  <c r="K285" i="14"/>
  <c r="K21" i="6"/>
  <c r="J290" i="14"/>
  <c r="H290" i="14" s="1"/>
  <c r="L21" i="6"/>
  <c r="L23" i="6" s="1"/>
  <c r="K290" i="14"/>
  <c r="K30" i="6"/>
  <c r="J298" i="14"/>
  <c r="L30" i="6"/>
  <c r="K298" i="14" s="1"/>
  <c r="K34" i="6"/>
  <c r="L34" i="6"/>
  <c r="K302" i="14" s="1"/>
  <c r="K41" i="6"/>
  <c r="L41" i="6"/>
  <c r="K308" i="14" s="1"/>
  <c r="K47" i="6"/>
  <c r="L47" i="6"/>
  <c r="K314" i="14" s="1"/>
  <c r="K15" i="5"/>
  <c r="J328" i="14"/>
  <c r="K22" i="5"/>
  <c r="J335" i="14" s="1"/>
  <c r="K31" i="5"/>
  <c r="K35" i="5"/>
  <c r="J347" i="14" s="1"/>
  <c r="K56" i="5"/>
  <c r="J367" i="14" s="1"/>
  <c r="L15" i="5"/>
  <c r="L22" i="5"/>
  <c r="L31" i="5"/>
  <c r="K343" i="14" s="1"/>
  <c r="L35" i="5"/>
  <c r="L56" i="5"/>
  <c r="K367" i="14" s="1"/>
  <c r="H367" i="14" s="1"/>
  <c r="O27" i="3"/>
  <c r="O9" i="3"/>
  <c r="O10" i="3"/>
  <c r="O11" i="3"/>
  <c r="O12" i="3"/>
  <c r="O13" i="3"/>
  <c r="O14" i="3"/>
  <c r="O15" i="3"/>
  <c r="O16" i="3"/>
  <c r="O17" i="3"/>
  <c r="K18" i="3"/>
  <c r="J377" i="14" s="1"/>
  <c r="L18" i="3"/>
  <c r="K377" i="14" s="1"/>
  <c r="H377" i="14" s="1"/>
  <c r="O19" i="3"/>
  <c r="O20" i="3"/>
  <c r="O21" i="3"/>
  <c r="O22" i="3"/>
  <c r="O23" i="3"/>
  <c r="O24" i="3"/>
  <c r="K25" i="3"/>
  <c r="L25" i="3"/>
  <c r="K384" i="14" s="1"/>
  <c r="O25" i="3"/>
  <c r="Q2" i="3"/>
  <c r="A5" i="11"/>
  <c r="G351" i="14"/>
  <c r="G352" i="14"/>
  <c r="G353" i="14"/>
  <c r="G354" i="14"/>
  <c r="G355" i="14"/>
  <c r="G356" i="14"/>
  <c r="G357" i="14"/>
  <c r="G358" i="14"/>
  <c r="G359" i="14"/>
  <c r="G360" i="14"/>
  <c r="G361" i="14"/>
  <c r="G362" i="14"/>
  <c r="G363" i="14"/>
  <c r="G364" i="14"/>
  <c r="G365" i="14"/>
  <c r="G366" i="14"/>
  <c r="G367" i="14"/>
  <c r="G339" i="14"/>
  <c r="G340" i="14"/>
  <c r="G341" i="14"/>
  <c r="G342" i="14"/>
  <c r="G343" i="14"/>
  <c r="G344" i="14"/>
  <c r="G345" i="14"/>
  <c r="G346" i="14"/>
  <c r="G347" i="14"/>
  <c r="G348" i="14"/>
  <c r="G349" i="14"/>
  <c r="G350" i="14"/>
  <c r="G324" i="14"/>
  <c r="G325" i="14"/>
  <c r="G326" i="14"/>
  <c r="G327" i="14"/>
  <c r="G328" i="14"/>
  <c r="G329" i="14"/>
  <c r="G330" i="14"/>
  <c r="G331" i="14"/>
  <c r="G332" i="14"/>
  <c r="G333" i="14"/>
  <c r="G334" i="14"/>
  <c r="G335" i="14"/>
  <c r="G336" i="14"/>
  <c r="G337" i="14"/>
  <c r="G338" i="14"/>
  <c r="G323" i="14"/>
  <c r="G306" i="14"/>
  <c r="G307" i="14"/>
  <c r="G308" i="14"/>
  <c r="G309" i="14"/>
  <c r="G310" i="14"/>
  <c r="G311" i="14"/>
  <c r="G312" i="14"/>
  <c r="G313" i="14"/>
  <c r="G314" i="14"/>
  <c r="G315" i="14"/>
  <c r="G316" i="14"/>
  <c r="G317" i="14"/>
  <c r="G318" i="14"/>
  <c r="G319" i="14"/>
  <c r="G320" i="14"/>
  <c r="G321" i="14"/>
  <c r="G322" i="14"/>
  <c r="G295" i="14"/>
  <c r="G296" i="14"/>
  <c r="G297" i="14"/>
  <c r="G298" i="14"/>
  <c r="G299" i="14"/>
  <c r="G300" i="14"/>
  <c r="G301" i="14"/>
  <c r="G302" i="14"/>
  <c r="G303" i="14"/>
  <c r="G304" i="14"/>
  <c r="G305" i="14"/>
  <c r="G294" i="14"/>
  <c r="G280" i="14"/>
  <c r="G281" i="14"/>
  <c r="G282" i="14"/>
  <c r="G283" i="14"/>
  <c r="G284" i="14"/>
  <c r="G285" i="14"/>
  <c r="G286" i="14"/>
  <c r="G287" i="14"/>
  <c r="G288" i="14"/>
  <c r="G289" i="14"/>
  <c r="G290" i="14"/>
  <c r="G291" i="14"/>
  <c r="G292" i="14"/>
  <c r="G293" i="14"/>
  <c r="G279" i="14"/>
  <c r="G377" i="14"/>
  <c r="R2" i="3"/>
  <c r="O28" i="3"/>
  <c r="P9" i="3"/>
  <c r="P10" i="3"/>
  <c r="P11" i="3"/>
  <c r="P12" i="3"/>
  <c r="P13" i="3"/>
  <c r="P14" i="3"/>
  <c r="P15" i="3"/>
  <c r="P16" i="3"/>
  <c r="P17" i="3"/>
  <c r="P18" i="3"/>
  <c r="P19" i="3"/>
  <c r="P20" i="3"/>
  <c r="P21" i="3"/>
  <c r="P22" i="3"/>
  <c r="P23" i="3"/>
  <c r="P24" i="3"/>
  <c r="P26" i="3"/>
  <c r="P27" i="3"/>
  <c r="P28" i="3"/>
  <c r="G386" i="14"/>
  <c r="G385" i="14"/>
  <c r="G369" i="14"/>
  <c r="G370" i="14"/>
  <c r="G371" i="14"/>
  <c r="G372" i="14"/>
  <c r="G373" i="14"/>
  <c r="G374" i="14"/>
  <c r="G375" i="14"/>
  <c r="G376" i="14"/>
  <c r="G378" i="14"/>
  <c r="G379" i="14"/>
  <c r="G380" i="14"/>
  <c r="G381" i="14"/>
  <c r="G382" i="14"/>
  <c r="G383" i="14"/>
  <c r="G384" i="14"/>
  <c r="G368" i="14"/>
  <c r="A4" i="3"/>
  <c r="M52" i="8"/>
  <c r="N65" i="4"/>
  <c r="K22" i="6"/>
  <c r="J291" i="14" s="1"/>
  <c r="K291" i="14"/>
  <c r="K23" i="6"/>
  <c r="J292" i="14" s="1"/>
  <c r="K292" i="14"/>
  <c r="K35" i="6"/>
  <c r="J303" i="14" s="1"/>
  <c r="K36" i="6"/>
  <c r="J304" i="14" s="1"/>
  <c r="L36" i="5"/>
  <c r="K348" i="14" s="1"/>
  <c r="L42" i="5"/>
  <c r="K353" i="14"/>
  <c r="I353" i="14" s="1"/>
  <c r="L48" i="5"/>
  <c r="K359" i="14"/>
  <c r="L50" i="5"/>
  <c r="K361" i="14"/>
  <c r="K42" i="5"/>
  <c r="J353" i="14"/>
  <c r="K48" i="5"/>
  <c r="K49" i="5" s="1"/>
  <c r="J359" i="14"/>
  <c r="I359" i="14" s="1"/>
  <c r="M53" i="8"/>
  <c r="O53" i="8"/>
  <c r="P53" i="8"/>
  <c r="N53" i="8" s="1"/>
  <c r="L53" i="8" s="1"/>
  <c r="B53" i="8" s="1"/>
  <c r="Q53" i="8"/>
  <c r="R53" i="8"/>
  <c r="A4" i="5"/>
  <c r="A4" i="6"/>
  <c r="A4" i="10"/>
  <c r="A4" i="2"/>
  <c r="A4" i="1"/>
  <c r="O11" i="6"/>
  <c r="P11" i="6"/>
  <c r="B48" i="8"/>
  <c r="B44" i="8"/>
  <c r="B37" i="8"/>
  <c r="O1" i="11"/>
  <c r="B52" i="14"/>
  <c r="A6" i="11"/>
  <c r="A6" i="3"/>
  <c r="A6" i="5"/>
  <c r="A6" i="6"/>
  <c r="A6" i="10"/>
  <c r="A6" i="2"/>
  <c r="A6" i="1"/>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08" i="14"/>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2" i="14"/>
  <c r="I39" i="4"/>
  <c r="K24" i="5"/>
  <c r="J337" i="14"/>
  <c r="D45" i="4"/>
  <c r="D35" i="4"/>
  <c r="AD2" i="14"/>
  <c r="AE2" i="14"/>
  <c r="AF2" i="14"/>
  <c r="AG2" i="14"/>
  <c r="K23" i="5"/>
  <c r="J336" i="14" s="1"/>
  <c r="J360" i="14"/>
  <c r="L10" i="8"/>
  <c r="B10" i="8"/>
  <c r="L9" i="8"/>
  <c r="B9" i="8" s="1"/>
  <c r="H91" i="14"/>
  <c r="K63" i="14"/>
  <c r="N5" i="8"/>
  <c r="L113" i="1"/>
  <c r="K104" i="14"/>
  <c r="J63" i="14"/>
  <c r="I63" i="14" s="1"/>
  <c r="M5" i="8"/>
  <c r="L5" i="8" s="1"/>
  <c r="B5" i="8" s="1"/>
  <c r="K42" i="1"/>
  <c r="J34" i="14"/>
  <c r="H43" i="14"/>
  <c r="H29" i="14"/>
  <c r="K11" i="1"/>
  <c r="K69" i="1" s="1"/>
  <c r="H130" i="14"/>
  <c r="K112" i="14"/>
  <c r="K13" i="2"/>
  <c r="J112" i="14"/>
  <c r="I112" i="14" s="1"/>
  <c r="H119" i="14"/>
  <c r="I278" i="14"/>
  <c r="I275" i="14"/>
  <c r="I269" i="14"/>
  <c r="H269" i="14"/>
  <c r="I254" i="14"/>
  <c r="H254" i="14"/>
  <c r="I235" i="14"/>
  <c r="H220" i="14"/>
  <c r="H195" i="14"/>
  <c r="H189" i="14"/>
  <c r="H312" i="14"/>
  <c r="H311" i="14"/>
  <c r="H288" i="14"/>
  <c r="H286" i="14"/>
  <c r="AC21" i="14"/>
  <c r="AC5" i="14"/>
  <c r="AC9" i="14"/>
  <c r="AC24" i="14"/>
  <c r="AC20" i="14"/>
  <c r="AC8" i="14"/>
  <c r="AC4" i="14"/>
  <c r="AC22" i="14"/>
  <c r="AC14" i="14"/>
  <c r="AC10" i="14"/>
  <c r="AC6" i="14"/>
  <c r="AC2" i="14"/>
  <c r="I377" i="14"/>
  <c r="M6" i="8"/>
  <c r="L49" i="5"/>
  <c r="K360" i="14" s="1"/>
  <c r="I360" i="14" s="1"/>
  <c r="Q1" i="3"/>
  <c r="O18" i="3"/>
  <c r="O1" i="3"/>
  <c r="H379" i="14"/>
  <c r="H375" i="14"/>
  <c r="H359" i="14"/>
  <c r="H386" i="14"/>
  <c r="H380" i="14"/>
  <c r="H378" i="14"/>
  <c r="H374" i="14"/>
  <c r="H370" i="14"/>
  <c r="H368" i="14"/>
  <c r="K113" i="1"/>
  <c r="J104" i="14"/>
  <c r="I104" i="14" s="1"/>
  <c r="J11" i="14"/>
  <c r="I11" i="14" s="1"/>
  <c r="BJ34" i="8"/>
  <c r="BI34" i="8"/>
  <c r="Q34" i="8"/>
  <c r="S34" i="8"/>
  <c r="U34" i="8"/>
  <c r="W34" i="8"/>
  <c r="Y34" i="8"/>
  <c r="AA34" i="8"/>
  <c r="AC34" i="8"/>
  <c r="AE34" i="8"/>
  <c r="AG34" i="8"/>
  <c r="AI34" i="8"/>
  <c r="AK34" i="8"/>
  <c r="AM34" i="8"/>
  <c r="AO34" i="8"/>
  <c r="AQ34" i="8"/>
  <c r="AS34" i="8"/>
  <c r="AU34" i="8"/>
  <c r="AW34" i="8"/>
  <c r="AY34" i="8"/>
  <c r="BA34" i="8"/>
  <c r="BC34" i="8"/>
  <c r="BE34" i="8"/>
  <c r="H104" i="14"/>
  <c r="H112" i="14"/>
  <c r="I82" i="14"/>
  <c r="I78" i="14"/>
  <c r="Q1" i="1"/>
  <c r="U30" i="8"/>
  <c r="M39" i="8"/>
  <c r="K45" i="2"/>
  <c r="I130" i="14"/>
  <c r="I91" i="14"/>
  <c r="O34" i="8"/>
  <c r="T34" i="8"/>
  <c r="X34" i="8"/>
  <c r="AB34" i="8"/>
  <c r="AF34" i="8"/>
  <c r="AJ34" i="8"/>
  <c r="AN34" i="8"/>
  <c r="AR34" i="8"/>
  <c r="AV34" i="8"/>
  <c r="AZ34" i="8"/>
  <c r="BD34" i="8"/>
  <c r="K66" i="14"/>
  <c r="J144" i="14"/>
  <c r="I66" i="14"/>
  <c r="H66" i="14"/>
  <c r="I291" i="14" l="1"/>
  <c r="H291" i="14"/>
  <c r="I292" i="14"/>
  <c r="H292" i="14"/>
  <c r="P39" i="8"/>
  <c r="N39" i="8"/>
  <c r="L39" i="8" s="1"/>
  <c r="B39" i="8" s="1"/>
  <c r="J343" i="14"/>
  <c r="K36" i="5"/>
  <c r="J348" i="14" s="1"/>
  <c r="J308" i="14"/>
  <c r="K48" i="6"/>
  <c r="J315" i="14" s="1"/>
  <c r="H323" i="14"/>
  <c r="I323" i="14"/>
  <c r="H131" i="14"/>
  <c r="I131" i="14"/>
  <c r="H122" i="14"/>
  <c r="I122" i="14"/>
  <c r="K35" i="14"/>
  <c r="L42" i="1"/>
  <c r="O39" i="8"/>
  <c r="I290" i="14"/>
  <c r="H353" i="14"/>
  <c r="H209" i="14"/>
  <c r="O1" i="10"/>
  <c r="H360" i="14"/>
  <c r="I310" i="14"/>
  <c r="X32" i="8"/>
  <c r="L32" i="8" s="1"/>
  <c r="B32" i="8" s="1"/>
  <c r="B15" i="14"/>
  <c r="I383" i="14"/>
  <c r="H383" i="14"/>
  <c r="H280" i="14"/>
  <c r="I280" i="14"/>
  <c r="H140" i="14"/>
  <c r="I140" i="14"/>
  <c r="H128" i="14"/>
  <c r="I128" i="14"/>
  <c r="J108" i="14"/>
  <c r="H100" i="14"/>
  <c r="I100" i="14"/>
  <c r="H96" i="14"/>
  <c r="I96" i="14"/>
  <c r="H92" i="14"/>
  <c r="I92" i="14"/>
  <c r="H89" i="14"/>
  <c r="I89" i="14"/>
  <c r="H85" i="14"/>
  <c r="I85" i="14"/>
  <c r="I75" i="14"/>
  <c r="H75" i="14"/>
  <c r="H285" i="14"/>
  <c r="H47" i="4"/>
  <c r="B51" i="14" s="1"/>
  <c r="H381" i="14"/>
  <c r="H213" i="14"/>
  <c r="P1" i="1"/>
  <c r="J61" i="14"/>
  <c r="K37" i="5"/>
  <c r="D37" i="4"/>
  <c r="L36" i="6"/>
  <c r="K304" i="14" s="1"/>
  <c r="I304" i="14" s="1"/>
  <c r="L35" i="6"/>
  <c r="K303" i="14" s="1"/>
  <c r="H303" i="14" s="1"/>
  <c r="R1" i="3"/>
  <c r="J384" i="14"/>
  <c r="P25" i="3"/>
  <c r="P1" i="3" s="1"/>
  <c r="K347" i="14"/>
  <c r="L37" i="5"/>
  <c r="K349" i="14" s="1"/>
  <c r="I367" i="14"/>
  <c r="J314" i="14"/>
  <c r="K49" i="6"/>
  <c r="J316" i="14" s="1"/>
  <c r="J302" i="14"/>
  <c r="I385" i="14"/>
  <c r="I139" i="14"/>
  <c r="I132" i="14"/>
  <c r="H306" i="14"/>
  <c r="I306" i="14"/>
  <c r="K213" i="14"/>
  <c r="I213" i="14" s="1"/>
  <c r="P2" i="10"/>
  <c r="I202" i="14"/>
  <c r="H202" i="14"/>
  <c r="I124" i="14"/>
  <c r="H124" i="14"/>
  <c r="I120" i="14"/>
  <c r="H120" i="14"/>
  <c r="H33" i="14"/>
  <c r="I33" i="14"/>
  <c r="K335" i="14"/>
  <c r="H335" i="14" s="1"/>
  <c r="L24" i="5"/>
  <c r="H298" i="14"/>
  <c r="I298" i="14"/>
  <c r="K328" i="14"/>
  <c r="I328" i="14" s="1"/>
  <c r="O1" i="5"/>
  <c r="I329" i="14"/>
  <c r="I31" i="14"/>
  <c r="I299" i="14"/>
  <c r="H299" i="14"/>
  <c r="H284" i="14"/>
  <c r="I284" i="14"/>
  <c r="K136" i="14"/>
  <c r="L45" i="2"/>
  <c r="K44" i="2"/>
  <c r="Q30" i="8"/>
  <c r="H11" i="14"/>
  <c r="H63" i="14"/>
  <c r="P1" i="5"/>
  <c r="B50" i="14" s="1"/>
  <c r="H371" i="14"/>
  <c r="P2" i="5"/>
  <c r="J3" i="14"/>
  <c r="K50" i="5"/>
  <c r="J361" i="14" s="1"/>
  <c r="L23" i="5"/>
  <c r="L49" i="6"/>
  <c r="K316" i="14" s="1"/>
  <c r="L48" i="6"/>
  <c r="K315" i="14" s="1"/>
  <c r="I345" i="14"/>
  <c r="I123" i="14"/>
  <c r="I69" i="14"/>
  <c r="M47" i="8"/>
  <c r="I327" i="14"/>
  <c r="H327" i="14"/>
  <c r="H282" i="14"/>
  <c r="I282" i="14"/>
  <c r="I263" i="14"/>
  <c r="I258" i="14"/>
  <c r="H258" i="14"/>
  <c r="I142" i="14"/>
  <c r="H142" i="14"/>
  <c r="I138" i="14"/>
  <c r="H138" i="14"/>
  <c r="H102" i="14"/>
  <c r="I102" i="14"/>
  <c r="H98" i="14"/>
  <c r="I98" i="14"/>
  <c r="H94" i="14"/>
  <c r="I94" i="14"/>
  <c r="H77" i="14"/>
  <c r="I77" i="14"/>
  <c r="H58" i="14"/>
  <c r="H54" i="14"/>
  <c r="H50" i="14"/>
  <c r="H46" i="14"/>
  <c r="H326" i="14"/>
  <c r="H287" i="14"/>
  <c r="H281" i="14"/>
  <c r="H265" i="14"/>
  <c r="H250" i="14"/>
  <c r="H246" i="14"/>
  <c r="H242" i="14"/>
  <c r="H238" i="14"/>
  <c r="H217" i="14"/>
  <c r="H129" i="14"/>
  <c r="H115" i="14"/>
  <c r="H59" i="14"/>
  <c r="H55" i="14"/>
  <c r="H51" i="14"/>
  <c r="H47" i="14"/>
  <c r="H10" i="14"/>
  <c r="I10" i="14"/>
  <c r="H6" i="14"/>
  <c r="I6" i="14"/>
  <c r="AC94" i="14"/>
  <c r="L28" i="8"/>
  <c r="B28" i="8" s="1"/>
  <c r="L43" i="8"/>
  <c r="B43" i="8" s="1"/>
  <c r="H344" i="14"/>
  <c r="H332" i="14"/>
  <c r="H289" i="14"/>
  <c r="H277" i="14"/>
  <c r="H267" i="14"/>
  <c r="H219" i="14"/>
  <c r="H215" i="14"/>
  <c r="H187" i="14"/>
  <c r="H183" i="14"/>
  <c r="H179" i="14"/>
  <c r="H175" i="14"/>
  <c r="H171" i="14"/>
  <c r="J170" i="14"/>
  <c r="P1" i="10"/>
  <c r="H127" i="14"/>
  <c r="H117" i="14"/>
  <c r="H70" i="14"/>
  <c r="H39" i="14"/>
  <c r="I39" i="14"/>
  <c r="AC63" i="14"/>
  <c r="H251" i="14"/>
  <c r="H247" i="14"/>
  <c r="H243" i="14"/>
  <c r="H239" i="14"/>
  <c r="H184" i="14"/>
  <c r="H180" i="14"/>
  <c r="H176" i="14"/>
  <c r="H172" i="14"/>
  <c r="H147" i="14"/>
  <c r="H113" i="14"/>
  <c r="I119" i="14"/>
  <c r="H110" i="14"/>
  <c r="H105" i="14"/>
  <c r="H90" i="14"/>
  <c r="H86" i="14"/>
  <c r="H73" i="14"/>
  <c r="H67" i="14"/>
  <c r="H64" i="14"/>
  <c r="H41" i="14"/>
  <c r="H37" i="14"/>
  <c r="H27" i="14"/>
  <c r="H23" i="14"/>
  <c r="H8" i="14"/>
  <c r="H4" i="14"/>
  <c r="AC98" i="14"/>
  <c r="AC85" i="14"/>
  <c r="AC79" i="14"/>
  <c r="AC74" i="14"/>
  <c r="H252" i="14"/>
  <c r="H248" i="14"/>
  <c r="H244" i="14"/>
  <c r="H240" i="14"/>
  <c r="H236" i="14"/>
  <c r="L44" i="2"/>
  <c r="K108" i="14"/>
  <c r="H106" i="14"/>
  <c r="H9" i="14"/>
  <c r="H5" i="14"/>
  <c r="AC99" i="14"/>
  <c r="L33" i="8"/>
  <c r="B33" i="8" s="1"/>
  <c r="AC55" i="14"/>
  <c r="AC47" i="14"/>
  <c r="AC39" i="14"/>
  <c r="AC31" i="14"/>
  <c r="AC19" i="14"/>
  <c r="B61" i="14" s="1"/>
  <c r="H185" i="14"/>
  <c r="H181" i="14"/>
  <c r="H177" i="14"/>
  <c r="H173" i="14"/>
  <c r="H135" i="14"/>
  <c r="H111" i="14"/>
  <c r="H74" i="14"/>
  <c r="H68" i="14"/>
  <c r="H40" i="14"/>
  <c r="H36" i="14"/>
  <c r="H26" i="14"/>
  <c r="H22" i="14"/>
  <c r="H7" i="14"/>
  <c r="AC87" i="14"/>
  <c r="AC75" i="14"/>
  <c r="AC67" i="14"/>
  <c r="AC59" i="14"/>
  <c r="AC51" i="14"/>
  <c r="AC43" i="14"/>
  <c r="AC35" i="14"/>
  <c r="AC27" i="14"/>
  <c r="R34" i="8"/>
  <c r="AH34" i="8"/>
  <c r="AX34" i="8"/>
  <c r="P34" i="8"/>
  <c r="AD34" i="8"/>
  <c r="I3" i="14" l="1"/>
  <c r="H3" i="14"/>
  <c r="R30" i="8"/>
  <c r="N30" i="8" s="1"/>
  <c r="M30" i="8" s="1"/>
  <c r="P1" i="2"/>
  <c r="O1" i="2"/>
  <c r="N40" i="8"/>
  <c r="L40" i="8" s="1"/>
  <c r="B40" i="8" s="1"/>
  <c r="V30" i="8"/>
  <c r="O30" i="8" s="1"/>
  <c r="J143" i="14"/>
  <c r="K46" i="2"/>
  <c r="L52" i="5"/>
  <c r="K363" i="14" s="1"/>
  <c r="K337" i="14"/>
  <c r="I314" i="14"/>
  <c r="H314" i="14"/>
  <c r="H347" i="14"/>
  <c r="I347" i="14"/>
  <c r="K34" i="14"/>
  <c r="L69" i="1"/>
  <c r="H343" i="14"/>
  <c r="I343" i="14"/>
  <c r="L50" i="6"/>
  <c r="L51" i="5"/>
  <c r="K362" i="14" s="1"/>
  <c r="K336" i="14"/>
  <c r="I136" i="14"/>
  <c r="H136" i="14"/>
  <c r="H328" i="14"/>
  <c r="J349" i="14"/>
  <c r="K52" i="5"/>
  <c r="J363" i="14" s="1"/>
  <c r="K51" i="5"/>
  <c r="J362" i="14" s="1"/>
  <c r="I35" i="14"/>
  <c r="H35" i="14"/>
  <c r="H315" i="14"/>
  <c r="I315" i="14"/>
  <c r="K47" i="2"/>
  <c r="L34" i="8"/>
  <c r="B34" i="8" s="1"/>
  <c r="K143" i="14"/>
  <c r="L46" i="2"/>
  <c r="P2" i="2"/>
  <c r="Q36" i="8"/>
  <c r="P36" i="8"/>
  <c r="L51" i="6"/>
  <c r="K318" i="14" s="1"/>
  <c r="H361" i="14"/>
  <c r="I361" i="14"/>
  <c r="I302" i="14"/>
  <c r="H302" i="14"/>
  <c r="H384" i="14"/>
  <c r="I384" i="14"/>
  <c r="K50" i="6"/>
  <c r="J317" i="14" s="1"/>
  <c r="I108" i="14"/>
  <c r="H108" i="14"/>
  <c r="M12" i="8"/>
  <c r="L12" i="8" s="1"/>
  <c r="B12" i="8" s="1"/>
  <c r="N36" i="8"/>
  <c r="M24" i="8"/>
  <c r="L24" i="8" s="1"/>
  <c r="B24" i="8" s="1"/>
  <c r="M36" i="8"/>
  <c r="M17" i="8"/>
  <c r="L17" i="8" s="1"/>
  <c r="B17" i="8" s="1"/>
  <c r="M23" i="8"/>
  <c r="L23" i="8" s="1"/>
  <c r="B23" i="8" s="1"/>
  <c r="M15" i="8"/>
  <c r="L15" i="8" s="1"/>
  <c r="B15" i="8" s="1"/>
  <c r="M22" i="8"/>
  <c r="L22" i="8" s="1"/>
  <c r="B22" i="8" s="1"/>
  <c r="M20" i="8"/>
  <c r="L20" i="8" s="1"/>
  <c r="B20" i="8" s="1"/>
  <c r="H41" i="4"/>
  <c r="B48" i="14" s="1"/>
  <c r="M14" i="8"/>
  <c r="L14" i="8" s="1"/>
  <c r="B14" i="8" s="1"/>
  <c r="M13" i="8"/>
  <c r="L13" i="8" s="1"/>
  <c r="B13" i="8" s="1"/>
  <c r="M21" i="8"/>
  <c r="L21" i="8" s="1"/>
  <c r="B21" i="8" s="1"/>
  <c r="M19" i="8"/>
  <c r="L19" i="8" s="1"/>
  <c r="B19" i="8" s="1"/>
  <c r="M25" i="8"/>
  <c r="L25" i="8" s="1"/>
  <c r="B25" i="8" s="1"/>
  <c r="M27" i="8"/>
  <c r="L27" i="8" s="1"/>
  <c r="B27" i="8" s="1"/>
  <c r="M16" i="8"/>
  <c r="L16" i="8" s="1"/>
  <c r="B16" i="8" s="1"/>
  <c r="M26" i="8"/>
  <c r="L26" i="8" s="1"/>
  <c r="B26" i="8" s="1"/>
  <c r="M18" i="8"/>
  <c r="L18" i="8" s="1"/>
  <c r="B18" i="8" s="1"/>
  <c r="I308" i="14"/>
  <c r="H308" i="14"/>
  <c r="H304" i="14"/>
  <c r="I303" i="14"/>
  <c r="L47" i="2"/>
  <c r="K144" i="14"/>
  <c r="H170" i="14"/>
  <c r="I170" i="14"/>
  <c r="R1" i="1"/>
  <c r="H316" i="14"/>
  <c r="I316" i="14"/>
  <c r="K51" i="6"/>
  <c r="P35" i="8"/>
  <c r="O35" i="8"/>
  <c r="N52" i="8"/>
  <c r="U45" i="8"/>
  <c r="I335" i="14"/>
  <c r="I348" i="14"/>
  <c r="H348" i="14"/>
  <c r="L30" i="8" l="1"/>
  <c r="B30" i="8" s="1"/>
  <c r="C30" i="8"/>
  <c r="Q45" i="8"/>
  <c r="L45" i="8" s="1"/>
  <c r="B45" i="8" s="1"/>
  <c r="I349" i="14"/>
  <c r="H349" i="14"/>
  <c r="I336" i="14"/>
  <c r="H336" i="14"/>
  <c r="K54" i="6"/>
  <c r="J318" i="14"/>
  <c r="H144" i="14"/>
  <c r="I144" i="14"/>
  <c r="K145" i="14"/>
  <c r="L49" i="2"/>
  <c r="P10" i="6"/>
  <c r="K146" i="14"/>
  <c r="L50" i="2"/>
  <c r="H362" i="14"/>
  <c r="I362" i="14"/>
  <c r="L53" i="6"/>
  <c r="K317" i="14"/>
  <c r="I317" i="14" s="1"/>
  <c r="K61" i="14"/>
  <c r="N6" i="8"/>
  <c r="P2" i="1"/>
  <c r="O1" i="1"/>
  <c r="Q6" i="8"/>
  <c r="J145" i="14"/>
  <c r="K49" i="2"/>
  <c r="O10" i="6"/>
  <c r="M35" i="8"/>
  <c r="B47" i="14"/>
  <c r="J146" i="14"/>
  <c r="K50" i="2"/>
  <c r="I337" i="14"/>
  <c r="H337" i="14"/>
  <c r="R45" i="8"/>
  <c r="H363" i="14"/>
  <c r="I363" i="14"/>
  <c r="H34" i="14"/>
  <c r="I34" i="14"/>
  <c r="I143" i="14"/>
  <c r="H143" i="14"/>
  <c r="J149" i="14" l="1"/>
  <c r="M8" i="8"/>
  <c r="I61" i="14"/>
  <c r="H61" i="14"/>
  <c r="K149" i="14"/>
  <c r="N8" i="8"/>
  <c r="B46" i="14"/>
  <c r="H39" i="4"/>
  <c r="H317" i="14"/>
  <c r="N35" i="8"/>
  <c r="L35" i="8" s="1"/>
  <c r="B35" i="8" s="1"/>
  <c r="J148" i="14"/>
  <c r="M7" i="8"/>
  <c r="Q1" i="2"/>
  <c r="N47" i="8" s="1"/>
  <c r="L47" i="8" s="1"/>
  <c r="B47" i="8" s="1"/>
  <c r="Q35" i="8"/>
  <c r="R35" i="8"/>
  <c r="O52" i="8"/>
  <c r="L52" i="8" s="1"/>
  <c r="B52" i="8" s="1"/>
  <c r="S36" i="8"/>
  <c r="R36" i="8"/>
  <c r="L36" i="8" s="1"/>
  <c r="B36" i="8" s="1"/>
  <c r="K320" i="14"/>
  <c r="L55" i="6"/>
  <c r="K148" i="14"/>
  <c r="N7" i="8"/>
  <c r="R1" i="2"/>
  <c r="H318" i="14"/>
  <c r="I318" i="14"/>
  <c r="H146" i="14"/>
  <c r="I146" i="14"/>
  <c r="H145" i="14"/>
  <c r="I145" i="14"/>
  <c r="L6" i="8"/>
  <c r="K55" i="6"/>
  <c r="J321" i="14"/>
  <c r="M29" i="8"/>
  <c r="L29" i="8" s="1"/>
  <c r="B29" i="8" s="1"/>
  <c r="K322" i="14" l="1"/>
  <c r="P2" i="6"/>
  <c r="O38" i="8" s="1"/>
  <c r="L7" i="8"/>
  <c r="B7" i="8" s="1"/>
  <c r="I149" i="14"/>
  <c r="H149" i="14"/>
  <c r="B6" i="8"/>
  <c r="L8" i="8"/>
  <c r="B8" i="8" s="1"/>
  <c r="H321" i="14"/>
  <c r="I321" i="14"/>
  <c r="J322" i="14"/>
  <c r="P1" i="6"/>
  <c r="O1" i="6"/>
  <c r="I320" i="14"/>
  <c r="H320" i="14"/>
  <c r="H148" i="14"/>
  <c r="I148" i="14"/>
  <c r="I322" i="14" l="1"/>
  <c r="H322" i="14"/>
  <c r="B59" i="14" s="1"/>
  <c r="A15" i="4"/>
  <c r="N38" i="8"/>
  <c r="P38" i="8"/>
  <c r="M38" i="8"/>
  <c r="B49" i="14"/>
  <c r="H45" i="4"/>
  <c r="Q38" i="8"/>
  <c r="S38" i="8"/>
  <c r="R38" i="8"/>
  <c r="L38" i="8" l="1"/>
  <c r="B38" i="8" l="1"/>
  <c r="M1" i="8"/>
  <c r="A73" i="4" l="1"/>
  <c r="B58" i="14"/>
</calcChain>
</file>

<file path=xl/comments1.xml><?xml version="1.0" encoding="utf-8"?>
<comments xmlns="http://schemas.openxmlformats.org/spreadsheetml/2006/main">
  <authors>
    <author>Željko Strunjak</author>
  </authors>
  <commentList>
    <comment ref="D9" authorId="0" shapeId="0">
      <text>
        <r>
          <rPr>
            <b/>
            <sz val="8"/>
            <color indexed="81"/>
            <rFont val="Tahoma"/>
            <family val="2"/>
            <charset val="238"/>
          </rPr>
          <t>Uputa:</t>
        </r>
        <r>
          <rPr>
            <sz val="8"/>
            <color indexed="81"/>
            <rFont val="Tahoma"/>
            <family val="2"/>
            <charset val="238"/>
          </rPr>
          <t xml:space="preserve">
Opis značenja svake šifre možete naći na radnom listu Sifre</t>
        </r>
      </text>
    </comment>
    <comment ref="A19" authorId="0" shapeId="0">
      <text>
        <r>
          <rPr>
            <b/>
            <sz val="8"/>
            <color indexed="81"/>
            <rFont val="Tahoma"/>
            <family val="2"/>
            <charset val="238"/>
          </rPr>
          <t>Uputa:</t>
        </r>
        <r>
          <rPr>
            <sz val="8"/>
            <color indexed="81"/>
            <rFont val="Tahoma"/>
            <family val="2"/>
            <charset val="238"/>
          </rPr>
          <t xml:space="preserve">
Upisuje se matični broj obveznika dodijeljen od Državnog zavoda za statistiku, na osam znamenaka, s vodećim nulama za matične brojeve kraće od osam znamenaka.
Obrtnici upisuju matični broj koji počinje s brojem 9, a slobodna zanimanja matični broj koji počinje s brojem 8 kao vodećim brojem.</t>
        </r>
      </text>
    </comment>
    <comment ref="A21" authorId="0" shapeId="0">
      <text>
        <r>
          <rPr>
            <b/>
            <sz val="8"/>
            <color indexed="81"/>
            <rFont val="Tahoma"/>
            <family val="2"/>
            <charset val="238"/>
          </rPr>
          <t>Naputak:</t>
        </r>
        <r>
          <rPr>
            <sz val="8"/>
            <color indexed="81"/>
            <rFont val="Tahoma"/>
            <family val="2"/>
            <charset val="238"/>
          </rPr>
          <t xml:space="preserve">
Tvrtke registrirane u trgovačkom sudu upisuju matični broj suda (devet znamenaka), ostali ne upisuju ništa.</t>
        </r>
      </text>
    </comment>
    <comment ref="A25" authorId="0" shapeId="0">
      <text>
        <r>
          <rPr>
            <b/>
            <sz val="8"/>
            <color indexed="81"/>
            <rFont val="Tahoma"/>
            <family val="2"/>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1" authorId="0" shapeId="0">
      <text>
        <r>
          <rPr>
            <b/>
            <sz val="8"/>
            <color indexed="81"/>
            <rFont val="Tahoma"/>
            <family val="2"/>
            <charset val="238"/>
          </rPr>
          <t>Uputa:</t>
        </r>
        <r>
          <rPr>
            <sz val="8"/>
            <color indexed="81"/>
            <rFont val="Tahoma"/>
            <family val="2"/>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3" authorId="0" shapeId="0">
      <text>
        <r>
          <rPr>
            <b/>
            <sz val="8"/>
            <color indexed="81"/>
            <rFont val="Tahoma"/>
            <family val="2"/>
            <charset val="238"/>
          </rPr>
          <t>Uputa:</t>
        </r>
        <r>
          <rPr>
            <sz val="8"/>
            <color indexed="81"/>
            <rFont val="Tahoma"/>
            <family val="2"/>
            <charset val="238"/>
          </rPr>
          <t xml:space="preserve">
Upisuje se adresa službenih internet stranica obveznika, bez http:// - samo www.stranica.hr).</t>
        </r>
      </text>
    </comment>
    <comment ref="H37" authorId="0" shapeId="0">
      <text>
        <r>
          <rPr>
            <b/>
            <sz val="8"/>
            <color indexed="81"/>
            <rFont val="Tahoma"/>
            <family val="2"/>
            <charset val="238"/>
          </rPr>
          <t>Uputa:</t>
        </r>
        <r>
          <rPr>
            <sz val="8"/>
            <color indexed="81"/>
            <rFont val="Tahoma"/>
            <family val="2"/>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41" authorId="0" shapeId="0">
      <text>
        <r>
          <rPr>
            <b/>
            <sz val="8"/>
            <color indexed="81"/>
            <rFont val="Tahoma"/>
            <family val="2"/>
            <charset val="238"/>
          </rPr>
          <t>Uputa:</t>
        </r>
        <r>
          <rPr>
            <sz val="8"/>
            <color indexed="81"/>
            <rFont val="Tahoma"/>
            <family val="2"/>
            <charset val="238"/>
          </rPr>
          <t xml:space="preserve">
Ako je izvještaj konsolidiran, mora postojati barem jedan subjekt konsolidacije na listi subjekata konsolidacije, te moraju biti u Računu dobiti i gubitka, Bilanci i ostalim tablicama gdje je to navedeno popunjeni i podaci o tome koji dio neke stavke (dobiti, prihoda, itd.) predstavlja rezultate matice, a koji dio predstavlja manjinski interes. Ako je izvještaj konsolidiran u ovo polje upišite "DA", a ako nije, upisujete "NE". Polje ne smije ostati nepopunjeno.</t>
        </r>
      </text>
    </comment>
    <comment ref="A45" authorId="0" shapeId="0">
      <text>
        <r>
          <rPr>
            <b/>
            <sz val="8"/>
            <color indexed="81"/>
            <rFont val="Tahoma"/>
            <family val="2"/>
            <charset val="238"/>
          </rPr>
          <t>Uputa:</t>
        </r>
        <r>
          <rPr>
            <sz val="8"/>
            <color indexed="81"/>
            <rFont val="Tahoma"/>
            <family val="2"/>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A51" authorId="0" shapeId="0">
      <text>
        <r>
          <rPr>
            <b/>
            <sz val="8"/>
            <color indexed="81"/>
            <rFont val="Tahoma"/>
            <family val="2"/>
            <charset val="238"/>
          </rPr>
          <t>Uputa:</t>
        </r>
        <r>
          <rPr>
            <sz val="8"/>
            <color indexed="81"/>
            <rFont val="Tahoma"/>
            <family val="2"/>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family val="2"/>
            <charset val="238"/>
          </rPr>
          <t>.  Zbroj oba postotka mora biti 100. Ako je porijeklo kaptala samo domaće ili samo strano, u pripadajuću kućicu upisuje se 100 a u drugu 0.</t>
        </r>
      </text>
    </comment>
    <comment ref="A63" authorId="0" shapeId="0">
      <text>
        <r>
          <rPr>
            <b/>
            <sz val="8"/>
            <color indexed="81"/>
            <rFont val="Tahoma"/>
            <family val="2"/>
            <charset val="238"/>
          </rPr>
          <t>Uputa:</t>
        </r>
        <r>
          <rPr>
            <sz val="8"/>
            <color indexed="81"/>
            <rFont val="Tahoma"/>
            <family val="2"/>
            <charset val="238"/>
          </rPr>
          <t xml:space="preserve">
Upisuje se matični broj knjigovodstvenog servisa dodijeljen od Državnog zavoda za statistiku te naziv knjigovodstvenog servisa koji je sastavio izvještaj. Ako je izvještaj sastavljen unutar same tvrtke obveznika, ova polja ostavljaju se praznima).</t>
        </r>
      </text>
    </comment>
  </commentList>
</comments>
</file>

<file path=xl/sharedStrings.xml><?xml version="1.0" encoding="utf-8"?>
<sst xmlns="http://schemas.openxmlformats.org/spreadsheetml/2006/main" count="4606" uniqueCount="2746">
  <si>
    <t>Organizacija sastanaka i poslovnih sajmova</t>
  </si>
  <si>
    <t>8291</t>
  </si>
  <si>
    <t>Djelatnosti agencija za prikupljanje i naplatu računa te kreditnih ureda</t>
  </si>
  <si>
    <t>8292</t>
  </si>
  <si>
    <t>Djelatnosti pakiranja</t>
  </si>
  <si>
    <t>8299</t>
  </si>
  <si>
    <t>Ostale poslovne pomoćne uslužne djelatnosti, d. n.</t>
  </si>
  <si>
    <t>8411</t>
  </si>
  <si>
    <t>Opće djelatnosti javne uprave</t>
  </si>
  <si>
    <t>8412</t>
  </si>
  <si>
    <t>Proizvodnja optičkih instrumenata i fotografske opreme</t>
  </si>
  <si>
    <t>2680</t>
  </si>
  <si>
    <t>Proizvodnja magnetskih i optičkih medija</t>
  </si>
  <si>
    <t>2711</t>
  </si>
  <si>
    <t>Proizvodnja elektromotora, generatora i transformatora</t>
  </si>
  <si>
    <t>2712</t>
  </si>
  <si>
    <t>Proizvodnja uređaja za distribuciju i kontrolu električne energije</t>
  </si>
  <si>
    <t>2720</t>
  </si>
  <si>
    <t>Proizvodnja baterija i akumulatora</t>
  </si>
  <si>
    <t>2731</t>
  </si>
  <si>
    <t>Proizvodnja kablova od optičkih vlakana</t>
  </si>
  <si>
    <t>2732</t>
  </si>
  <si>
    <t>Proizvodnja ostalih elektroničkih i električnih žica i kablova</t>
  </si>
  <si>
    <t>2733</t>
  </si>
  <si>
    <t>Proizvodnja elektroinstalacijskog materijala</t>
  </si>
  <si>
    <t>Popravak aparata za kućanstvo te opreme za kuću i vrt</t>
  </si>
  <si>
    <t>9523</t>
  </si>
  <si>
    <t>Popravak obuće i proizvoda od kože</t>
  </si>
  <si>
    <t>9524</t>
  </si>
  <si>
    <t>Popravak namještaja i pokućstva</t>
  </si>
  <si>
    <t>9525</t>
  </si>
  <si>
    <t>Popravak satova i nakita</t>
  </si>
  <si>
    <t>9529</t>
  </si>
  <si>
    <t xml:space="preserve">Popravak ostalih predmeta za osobnu uporabu i kućanstvo </t>
  </si>
  <si>
    <t>9601</t>
  </si>
  <si>
    <t>1520</t>
  </si>
  <si>
    <t>Proizvodnja obuće</t>
  </si>
  <si>
    <t>1610</t>
  </si>
  <si>
    <t>Pranje i kemijsko čišćenje tekstila i krznenih proizvoda</t>
  </si>
  <si>
    <t>9602</t>
  </si>
  <si>
    <t>Frizerski saloni i saloni za uljepšavanje</t>
  </si>
  <si>
    <t>9603</t>
  </si>
  <si>
    <t>Pogrebne i srodne djelatnosti</t>
  </si>
  <si>
    <t>9604</t>
  </si>
  <si>
    <t>Djelatnosti za njegu i održavanje tijela</t>
  </si>
  <si>
    <t>9609</t>
  </si>
  <si>
    <t>Ostale osobne uslužne djelatnosti, d. n.</t>
  </si>
  <si>
    <t>9700</t>
  </si>
  <si>
    <t>Djelatnosti kućanstava koja zapošljavaju poslugu</t>
  </si>
  <si>
    <t>9810</t>
  </si>
  <si>
    <t>Djelatnosti privatnih kućanstava koja proizvode različitu robu za vlastite potrebe</t>
  </si>
  <si>
    <t>9820</t>
  </si>
  <si>
    <t>Djelatnosti privatnih kućanstava koja obavljaju različite usluge za vlastite potrebe</t>
  </si>
  <si>
    <t>9900</t>
  </si>
  <si>
    <t>Opuzen</t>
  </si>
  <si>
    <t>Velika Pisanica</t>
  </si>
  <si>
    <t>Gornja Reka</t>
  </si>
  <si>
    <t>Orahovica</t>
  </si>
  <si>
    <t>Velika Trnovitica</t>
  </si>
  <si>
    <t>Gornja Stubica</t>
  </si>
  <si>
    <t>Orebić</t>
  </si>
  <si>
    <t>Veliki Bukovec</t>
  </si>
  <si>
    <t>Gornja Vrba</t>
  </si>
  <si>
    <t>Orehovica</t>
  </si>
  <si>
    <t>Veliki Grđevac</t>
  </si>
  <si>
    <t>Gornji Bogićevci</t>
  </si>
  <si>
    <t>Oriovac</t>
  </si>
  <si>
    <t>8531</t>
  </si>
  <si>
    <t>IZNOS08</t>
  </si>
  <si>
    <t>IZNOS09</t>
  </si>
  <si>
    <t>IZNOS10</t>
  </si>
  <si>
    <t>IZNOS11</t>
  </si>
  <si>
    <t>MB</t>
  </si>
  <si>
    <t>MBS</t>
  </si>
  <si>
    <t>NAZIV</t>
  </si>
  <si>
    <t>POSTA</t>
  </si>
  <si>
    <t>MJESTO</t>
  </si>
  <si>
    <t>ADRESA</t>
  </si>
  <si>
    <t>DJELAT</t>
  </si>
  <si>
    <t>OPCINA</t>
  </si>
  <si>
    <t>ZUPANIJA</t>
  </si>
  <si>
    <t>VRSTA_IZV</t>
  </si>
  <si>
    <t>OPIS</t>
  </si>
  <si>
    <t>VRIJEDNOST</t>
  </si>
  <si>
    <t xml:space="preserve"> 37.  Dugoročni trgovački krediti i predujmovi trgovačkim društvima - bruto</t>
  </si>
  <si>
    <t xml:space="preserve"> 40.  Kratkoročni trgovački krediti i predujmovi trgovačkim društvima - bruto</t>
  </si>
  <si>
    <t xml:space="preserve"> 52.  Prihod od prodaje roba i usluga (nabavljenih isključivo za daljnju prodaju)
         i trgovačkih usluga</t>
  </si>
  <si>
    <t xml:space="preserve"> 67.  Troškovi robe i usluga nabavljenih za daljnju prodaju, a uključenih 
         u vlastite proizvode i/ili usluge</t>
  </si>
  <si>
    <t xml:space="preserve"> 72.  Izdaci za bruto autorske honorare i ugovore o djelu samo za fizičke osobe
         koje nemaju registriranu djelatnost</t>
  </si>
  <si>
    <t>Proizvodnja pesticida i drugih agrokemijskih proizvoda</t>
  </si>
  <si>
    <t>2030</t>
  </si>
  <si>
    <t>Proizvodnja boja, lakova i sličnih premaza, grafičkih boja i kitova</t>
  </si>
  <si>
    <t>2041</t>
  </si>
  <si>
    <t>Proizvodnja sapuna i deterdženata, sredstava za čišćenje i poliranje</t>
  </si>
  <si>
    <t>2042</t>
  </si>
  <si>
    <t>Opci</t>
  </si>
  <si>
    <t>NT_I</t>
  </si>
  <si>
    <t>NT_D</t>
  </si>
  <si>
    <t>ListaMB</t>
  </si>
  <si>
    <t>Opcine</t>
  </si>
  <si>
    <t>Prom</t>
  </si>
  <si>
    <r>
      <t xml:space="preserve">AOP
</t>
    </r>
    <r>
      <rPr>
        <b/>
        <sz val="8"/>
        <color indexed="9"/>
        <rFont val="Arial"/>
        <family val="2"/>
        <charset val="238"/>
      </rPr>
      <t>oznaka</t>
    </r>
  </si>
  <si>
    <r>
      <t xml:space="preserve">Rbr. 
</t>
    </r>
    <r>
      <rPr>
        <b/>
        <sz val="8"/>
        <color indexed="9"/>
        <rFont val="Arial"/>
        <family val="2"/>
        <charset val="238"/>
      </rPr>
      <t>bilješke</t>
    </r>
  </si>
  <si>
    <r>
      <t xml:space="preserve">AOP
</t>
    </r>
    <r>
      <rPr>
        <b/>
        <sz val="7"/>
        <color indexed="9"/>
        <rFont val="Arial"/>
        <family val="2"/>
        <charset val="238"/>
      </rPr>
      <t>oznaka</t>
    </r>
  </si>
  <si>
    <t>Prijevoz robe unutrašnjim vodenim putovima</t>
  </si>
  <si>
    <t>5110</t>
  </si>
  <si>
    <t>Zračni prijevoz putnika</t>
  </si>
  <si>
    <t>5121</t>
  </si>
  <si>
    <t>Zračni prijevoz robe</t>
  </si>
  <si>
    <t>5122</t>
  </si>
  <si>
    <t>Svemirski prijevoz</t>
  </si>
  <si>
    <t>5210</t>
  </si>
  <si>
    <t>Skladištenje robe</t>
  </si>
  <si>
    <t>5221</t>
  </si>
  <si>
    <t>Uslužne djelatnosti u vezi s kopnenim prijevozom</t>
  </si>
  <si>
    <t>5222</t>
  </si>
  <si>
    <t>Uslužne djelatnosti u vezi s vodenim prijevozom</t>
  </si>
  <si>
    <t>5223</t>
  </si>
  <si>
    <t>Uslužne djelatnosti u vezi sa zračnim prijevozom</t>
  </si>
  <si>
    <t>5224</t>
  </si>
  <si>
    <t>Prekrcaj tereta</t>
  </si>
  <si>
    <t>5229</t>
  </si>
  <si>
    <t>Ostale prateće djelatnosti u prijevozu</t>
  </si>
  <si>
    <t>5310</t>
  </si>
  <si>
    <t>Djelatnosti pružanja univerzalnih poštanskih usluga</t>
  </si>
  <si>
    <t>5320</t>
  </si>
  <si>
    <t>Djelatnosti pružanja ostalih poštanskih i kurirskih usluga</t>
  </si>
  <si>
    <t>5510</t>
  </si>
  <si>
    <t>Hoteli i sličan smještaj</t>
  </si>
  <si>
    <t>5520</t>
  </si>
  <si>
    <t>Ako se predaje konsolidirani izvještaj, stavka Bilance - Kapital i rezerve (AOP 062) ukupno mora biti jednaka zbroju Kapitala i rezervi pripisanog imateljima kapitala matice te pripisanog manjinskom interesu (AOP 105 i 106). U slučaju da izvještaj nije Konsolidiran AOP oznake 105 i 106 u Bilance se ne popunjavaju.</t>
  </si>
  <si>
    <t>Trgovina na malo audio i videoopremom u specijaliziranim prodavaonicama</t>
  </si>
  <si>
    <t>4751</t>
  </si>
  <si>
    <t>Trgovina na malo tekstilom u specijaliziranim prodavaonicama</t>
  </si>
  <si>
    <t>4752</t>
  </si>
  <si>
    <t>Trgovina na malo željeznom robom, bojama i staklom u specijaliziranim prodavaonicama</t>
  </si>
  <si>
    <t>4753</t>
  </si>
  <si>
    <r>
      <t xml:space="preserve">Izvještaj o promjenama kapitala </t>
    </r>
    <r>
      <rPr>
        <sz val="8"/>
        <color indexed="56"/>
        <rFont val="Arial"/>
        <family val="2"/>
        <charset val="238"/>
      </rPr>
      <t>dužni su dostaviti svi srednje veliki i veliki obveznici koji predaju izvještaj za potrebe javne objave. Ako je izvještaj popunjen a obveznik ga nije dužan popuniti, ili ako je obveznik dužan popuniti i Izvještaj o promjenama kapitala, a on nije popunjen, ova kontrola je neispravna. Ovaj izvještaj ne predaje se za vrstu izvještaja 32.</t>
    </r>
  </si>
  <si>
    <r>
      <t>Odluka o utvrđivanju godišnjeg izvještaja</t>
    </r>
    <r>
      <rPr>
        <sz val="8"/>
        <color indexed="56"/>
        <rFont val="Arial"/>
        <family val="2"/>
        <charset val="238"/>
      </rPr>
      <t xml:space="preserve"> predaje se za sve veličine poduzetnika, i to za izvještaje s oznakom vrste izvještaja 10 i 11 - ako je svrha predaje javna objava. Kod vrsta izvještaja 20 i 30 odluka se može predati ali i ne mora (zavisi od stečajnog ili likvidacijskog upravitelja).</t>
    </r>
  </si>
  <si>
    <t>Redni broj i rezultat kontrole</t>
  </si>
  <si>
    <t xml:space="preserve">29. </t>
  </si>
  <si>
    <t xml:space="preserve">30. </t>
  </si>
  <si>
    <t xml:space="preserve">31. </t>
  </si>
  <si>
    <t xml:space="preserve">32. </t>
  </si>
  <si>
    <t xml:space="preserve">33. </t>
  </si>
  <si>
    <t>AOP oznake 232 i 233 Dodatnih podataka moraju zbrojno biti jednake AOP oznaci 108 Računa dobiti i gubitka (ako je svrha predaje i statističke potrebe, tj. ako su Dodatni podaci popunjeni). Kontrola vrijedi za obje kolone podataka (tekuća i prethodna godina).</t>
  </si>
  <si>
    <t>Ako su Dodatni podaci popunjeni (predaja za statističke svrhe), mora biti zadovoljen uvjet da bruto iznos nekih stavaka u Dodatnim podacima mora biti veći ili jednak neto iznosu u Bilanci, tj. AOP 158 &gt;= AOP 009.</t>
  </si>
  <si>
    <t>Veliko Trgovišće</t>
  </si>
  <si>
    <t>Gornji Kneginec</t>
  </si>
  <si>
    <t>Orle</t>
  </si>
  <si>
    <t>Veliko Trojstvo</t>
  </si>
  <si>
    <t>Gornji Mihaljevec</t>
  </si>
  <si>
    <t>Đurđevac</t>
  </si>
  <si>
    <t>Mjesto</t>
  </si>
  <si>
    <t>15.</t>
  </si>
  <si>
    <t>16.</t>
  </si>
  <si>
    <t>17.</t>
  </si>
  <si>
    <t>18.</t>
  </si>
  <si>
    <t>19.</t>
  </si>
  <si>
    <t>20.</t>
  </si>
  <si>
    <t>21.</t>
  </si>
  <si>
    <t>22.</t>
  </si>
  <si>
    <t>23.</t>
  </si>
  <si>
    <t>24.</t>
  </si>
  <si>
    <t>25.</t>
  </si>
  <si>
    <t>26.</t>
  </si>
  <si>
    <t>27.</t>
  </si>
  <si>
    <t>28.</t>
  </si>
  <si>
    <t>29.</t>
  </si>
  <si>
    <t>* Primici s osnove kamata i dividendi mogu se razvrstati kao i poslovne aktivnosti (MRS 7 Dodatak A)</t>
  </si>
  <si>
    <t>Trgovina na veliko cvijećem i sadnicama</t>
  </si>
  <si>
    <t>4623</t>
  </si>
  <si>
    <t>Trgovina na veliko živom stokom</t>
  </si>
  <si>
    <t>4624</t>
  </si>
  <si>
    <t>Trgovina na veliko sirovim i štavljenim kožama</t>
  </si>
  <si>
    <t>4631</t>
  </si>
  <si>
    <t>Trgovina na veliko voćem i povrćem</t>
  </si>
  <si>
    <t>4632</t>
  </si>
  <si>
    <t>Trgovina na veliko mesom i mesnim proizvodima</t>
  </si>
  <si>
    <t>4633</t>
  </si>
  <si>
    <t>Trgovina na veliko mlijekom, mliječnim proizvodima, jajima, jestivim uljima i mastima</t>
  </si>
  <si>
    <r>
      <t>Obrazac</t>
    </r>
    <r>
      <rPr>
        <b/>
        <sz val="10"/>
        <color indexed="18"/>
        <rFont val="Arial"/>
        <family val="2"/>
        <charset val="238"/>
      </rPr>
      <t xml:space="preserve">
</t>
    </r>
    <r>
      <rPr>
        <b/>
        <sz val="12"/>
        <color indexed="18"/>
        <rFont val="Arial Black"/>
        <family val="2"/>
        <charset val="238"/>
      </rPr>
      <t>POD-NTD</t>
    </r>
  </si>
  <si>
    <t>IZVJEŠTAJ O NOVČANOM TIJEKU - Direktna metoda</t>
  </si>
  <si>
    <t>I.  Ukupno novčani primici od poslovnih aktivnosti (001 do 005)</t>
  </si>
  <si>
    <t xml:space="preserve">     1. Novčani primici od kupaca</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</si>
  <si>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</si>
  <si>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</si>
  <si>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</si>
  <si>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</si>
  <si>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</si>
  <si>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</si>
  <si>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 xml:space="preserve">     1. Udjeli (dionice) kod povezanih poduzetnika</t>
  </si>
  <si>
    <t xml:space="preserve">     2. Dani zajmovi povezanim poduzetnicima</t>
  </si>
  <si>
    <t xml:space="preserve">     3. Sudjelujući interesi (udjeli)</t>
  </si>
  <si>
    <t xml:space="preserve">     4. Ulaganja u vrijednosne papire</t>
  </si>
  <si>
    <t xml:space="preserve">     5. Dani zajmovi, depoziti i sl. </t>
  </si>
  <si>
    <t xml:space="preserve">     6. Vlastite dionice i udjeli </t>
  </si>
  <si>
    <t xml:space="preserve">     7. Ostala dugotrajna financijska imovina </t>
  </si>
  <si>
    <t xml:space="preserve">     1. Potraživanja od povezanih poduzetnika</t>
  </si>
  <si>
    <t xml:space="preserve">     2. Potraživanja po osnovi prodaje na kredit</t>
  </si>
  <si>
    <t xml:space="preserve">     3. Ostala potraživanja</t>
  </si>
  <si>
    <t>Poštanski broj i mjesto:</t>
  </si>
  <si>
    <t>Ulica i kućni broj:</t>
  </si>
  <si>
    <t>Adresa e-pošte:</t>
  </si>
  <si>
    <t>Internet adresa:</t>
  </si>
  <si>
    <t>Šifra županije:</t>
  </si>
  <si>
    <t>Šifra općine/grada:</t>
  </si>
  <si>
    <t>Šifra NKD-a:</t>
  </si>
  <si>
    <t>Konsolidirani izvještaj:</t>
  </si>
  <si>
    <t>(u prethodnoj godini)</t>
  </si>
  <si>
    <t>(u tekućoj godini)</t>
  </si>
  <si>
    <t>Peteranec</t>
  </si>
  <si>
    <t>Višnjan</t>
  </si>
  <si>
    <t>Oroslavje</t>
  </si>
  <si>
    <t>Oznaka vlasništva:</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</si>
  <si>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</si>
  <si>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</si>
  <si>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</si>
  <si>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</si>
  <si>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</si>
  <si>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</si>
  <si>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</si>
  <si>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</si>
  <si>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</si>
  <si>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</si>
  <si>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</si>
  <si>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Izvještaj kojeg ispunjava obveznik u stečaju.</t>
  </si>
  <si>
    <t>Podstrana</t>
  </si>
  <si>
    <t>Vuka</t>
  </si>
  <si>
    <t>Jasenice</t>
  </si>
  <si>
    <t>Podturen</t>
  </si>
  <si>
    <t>Vukovar</t>
  </si>
  <si>
    <t>Jasenovac</t>
  </si>
  <si>
    <t>6612</t>
  </si>
  <si>
    <t>Kastav</t>
  </si>
  <si>
    <t>Pribislavec</t>
  </si>
  <si>
    <t>Žumberak</t>
  </si>
  <si>
    <t>Kaštela</t>
  </si>
  <si>
    <t>Primorski Dolac</t>
  </si>
  <si>
    <t>Župa Dubrovačka</t>
  </si>
  <si>
    <t>Kaštelir - Labinci</t>
  </si>
  <si>
    <t>Primošten</t>
  </si>
  <si>
    <t>Županja</t>
  </si>
  <si>
    <t>Kijevo</t>
  </si>
  <si>
    <t>Privlaka</t>
  </si>
  <si>
    <t>Kistanje</t>
  </si>
  <si>
    <t>Šifra općine / grada upisuje se prema standardnim troznamenkastim šiframa bez kontrolne znamekne. U ovom šifrarniku šifre su dane abecednim redom naziva naselja. U obrazac se upisuje samo šifra općine / grada, a šifra županije se automatski izračunava.</t>
  </si>
  <si>
    <t>Oznake veličine:</t>
  </si>
  <si>
    <t>Mali poduzetnik</t>
  </si>
  <si>
    <t>Srednje veliki poduzetnik</t>
  </si>
  <si>
    <t>Veliki poduzetnik</t>
  </si>
  <si>
    <t xml:space="preserve"> 73.  Izdaci za rad ostvaren preko studentskih i učeničkih servisa</t>
  </si>
  <si>
    <t xml:space="preserve"> 74.  Troškovi agencijskih radnika</t>
  </si>
  <si>
    <t xml:space="preserve"> 75.  Premije osiguranja (bruto)</t>
  </si>
  <si>
    <t xml:space="preserve"> 76.  Porezi koji ne ovise o dobitku i pristojbe</t>
  </si>
  <si>
    <t xml:space="preserve"> 77.  Stipendije</t>
  </si>
  <si>
    <t xml:space="preserve"> 78.  Nadoknade članovima uprave</t>
  </si>
  <si>
    <t xml:space="preserve"> 79.  Primici u naravi</t>
  </si>
  <si>
    <t xml:space="preserve"> 80.  Nadoknade troškova, darovi i potpore zaposlenicima</t>
  </si>
  <si>
    <t>SIF_OBL_ORG</t>
  </si>
  <si>
    <t>Iznajmljivanje i davanje u zakup (leasing) uredskih strojeva i opreme (uključujući računala)</t>
  </si>
  <si>
    <t>7734</t>
  </si>
  <si>
    <t>Iznajmljivanje i davanje u zakup (leasing) plovnih prijevoznih sredstava</t>
  </si>
  <si>
    <t>7735</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</si>
  <si>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</si>
  <si>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</si>
  <si>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</si>
  <si>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</si>
  <si>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</si>
  <si>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</si>
  <si>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</si>
  <si>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</si>
  <si>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</si>
  <si>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</si>
  <si>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</si>
  <si>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</si>
  <si>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</si>
  <si>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</si>
  <si>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</si>
  <si>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</si>
  <si>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</si>
  <si>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</si>
  <si>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</si>
  <si>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</si>
  <si>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</si>
  <si>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</si>
  <si>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</si>
  <si>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</si>
  <si>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</si>
  <si>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</si>
  <si>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</si>
  <si>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</si>
  <si>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</si>
  <si>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III. REZERVE IZ DOBITI (066+067-068+069+070)</t>
  </si>
  <si>
    <t>1. Zakonske rezerve</t>
  </si>
  <si>
    <t>2. Rezerve za vlastite dionice</t>
  </si>
  <si>
    <t>Proizvodnja bicikala i invalidskih kolica</t>
  </si>
  <si>
    <t>3099</t>
  </si>
  <si>
    <t xml:space="preserve">Proizvodnja ostalih prijevoznih sredstava, d. n. </t>
  </si>
  <si>
    <t>3101</t>
  </si>
  <si>
    <t>Proizvodnja namještaja za poslovne i prodajne prostore</t>
  </si>
  <si>
    <t>3102</t>
  </si>
  <si>
    <t>Proizvodnja kuhinjskog namještaja</t>
  </si>
  <si>
    <t>3103</t>
  </si>
  <si>
    <t>Proizvodnja madraca</t>
  </si>
  <si>
    <t>3109</t>
  </si>
  <si>
    <t>Proizvodnja ostalog namještaja</t>
  </si>
  <si>
    <t>3211</t>
  </si>
  <si>
    <t>Proizvodnja novca</t>
  </si>
  <si>
    <t>3212</t>
  </si>
  <si>
    <t>Proizvodnja nakita i srodnih proizvoda</t>
  </si>
  <si>
    <t>3213</t>
  </si>
  <si>
    <t>Djelatnosti socijalne skrbi sa smještajem za starije osobe i osobe s invaliditetom</t>
  </si>
  <si>
    <t>8790</t>
  </si>
  <si>
    <t>Ostale djelatnosti socijalne skrbi sa smještajem</t>
  </si>
  <si>
    <t>8810</t>
  </si>
  <si>
    <t>Djelatnosti socijalne skrbi bez smještaja za starije osobe i osobe s invaliditetom</t>
  </si>
  <si>
    <t>8891</t>
  </si>
  <si>
    <t>Djelatnosti dnevne skrbi o djeci</t>
  </si>
  <si>
    <t>8899</t>
  </si>
  <si>
    <t>Ostale djelatnosti socijalne skrbi bez smještaja, d. n.</t>
  </si>
  <si>
    <t>9001</t>
  </si>
  <si>
    <t>Izvođačka umjetnost</t>
  </si>
  <si>
    <t>9002</t>
  </si>
  <si>
    <t>Pomoćne djelatnosti u izvođačkoj umjetnosti</t>
  </si>
  <si>
    <t>9003</t>
  </si>
  <si>
    <t>Umjetničko stvaralaštvo</t>
  </si>
  <si>
    <t>9004</t>
  </si>
  <si>
    <t>Rad umjetničkih objekata</t>
  </si>
  <si>
    <t>9101</t>
  </si>
  <si>
    <t>Djelatnosti knjižnica i arhiva</t>
  </si>
  <si>
    <t>9102</t>
  </si>
  <si>
    <t>Djelatnosti muzeja</t>
  </si>
  <si>
    <t>9103</t>
  </si>
  <si>
    <t>Rad povijesnih mjesta i građevina te sličnih zanimljivosti za posjetitelje</t>
  </si>
  <si>
    <t>9104</t>
  </si>
  <si>
    <t>Djelatnosti botaničkih i zooloških vrtova i prirodnih rezervata</t>
  </si>
  <si>
    <t>9200</t>
  </si>
  <si>
    <t>Djelatnosti kockanja i klađenja</t>
  </si>
  <si>
    <t>9311</t>
  </si>
  <si>
    <t>Rad sportskih objekata</t>
  </si>
  <si>
    <t>9312</t>
  </si>
  <si>
    <t>Djelatnosti sportskih klubova</t>
  </si>
  <si>
    <t>9313</t>
  </si>
  <si>
    <t>Fitnes centri</t>
  </si>
  <si>
    <t>9319</t>
  </si>
  <si>
    <t>Proizvodnja papira i kartona</t>
  </si>
  <si>
    <t>1721</t>
  </si>
  <si>
    <t>Proizvodnja valovitog papira i kartona te ambalaže od papira i kartona</t>
  </si>
  <si>
    <t>1722</t>
  </si>
  <si>
    <t>Proizvodnja robe za kućanstvo i higijenu te toaletnih potrepština od papira</t>
  </si>
  <si>
    <t>1723</t>
  </si>
  <si>
    <t>Proizvodnja uredskog materijala od papira</t>
  </si>
  <si>
    <t>1724</t>
  </si>
  <si>
    <t>Proizvodnja zidnih tapeta</t>
  </si>
  <si>
    <t>1729</t>
  </si>
  <si>
    <t>Proizvodnja ostalih proizvoda od papira i kartona</t>
  </si>
  <si>
    <t>1811</t>
  </si>
  <si>
    <t>Tiskanje novina</t>
  </si>
  <si>
    <t>1812</t>
  </si>
  <si>
    <t xml:space="preserve">Ostalo tiskanje </t>
  </si>
  <si>
    <t>1813</t>
  </si>
  <si>
    <t>Usluge pripreme za tisak i objavljivanje</t>
  </si>
  <si>
    <t>1814</t>
  </si>
  <si>
    <t>101.  Broj lokalnih jedinica prema vrsti djelatnosti (LJVD)</t>
  </si>
  <si>
    <t>    3. Goodwill – bruto</t>
  </si>
  <si>
    <t>    4. Predujmovi za nabavu nematerijalne imovine - bruto</t>
  </si>
  <si>
    <t>    5. Nematerijalna imovina u pripremi - bruto</t>
  </si>
  <si>
    <t>    6. Ostala nematerijalna imovina - bruto</t>
  </si>
  <si>
    <t>    7. Zemljište – bruto</t>
  </si>
  <si>
    <t>    8. Građevinski objekti - bruto</t>
  </si>
  <si>
    <t>    9. Postrojenja i oprema - bruto</t>
  </si>
  <si>
    <t xml:space="preserve"> 10. Alati, pogonski inventar i transportna imovina - bruto</t>
  </si>
  <si>
    <t xml:space="preserve"> 11. Biološka imovina - bruto</t>
  </si>
  <si>
    <t>za</t>
  </si>
  <si>
    <t>Naziv poslovnog subjekta</t>
  </si>
  <si>
    <t>Matični broj DZS-a</t>
  </si>
  <si>
    <t>Lista matičnih brojeva - subjekata konsolidacije</t>
  </si>
  <si>
    <t>Rbr.</t>
  </si>
  <si>
    <t>1.</t>
  </si>
  <si>
    <t>2.</t>
  </si>
  <si>
    <t>3.</t>
  </si>
  <si>
    <t>4.</t>
  </si>
  <si>
    <t>5.</t>
  </si>
  <si>
    <t>6.</t>
  </si>
  <si>
    <t>7.</t>
  </si>
  <si>
    <t>8.</t>
  </si>
  <si>
    <t>9.</t>
  </si>
  <si>
    <t>10.</t>
  </si>
  <si>
    <t>11.</t>
  </si>
  <si>
    <t>12.</t>
  </si>
  <si>
    <t>13.</t>
  </si>
  <si>
    <t>14.</t>
  </si>
  <si>
    <t xml:space="preserve"> 81.  Otpremnine</t>
  </si>
  <si>
    <t xml:space="preserve"> 83.  Prihodi od kamata (s povezanim i nepovezanim poduzetnicima i drugim osobama)</t>
  </si>
  <si>
    <t xml:space="preserve"> 85.  Prihodi od udjela u dobiti</t>
  </si>
  <si>
    <t xml:space="preserve"> 86.  Vrijednosno usklađivanje zaliha sirovina i materijala</t>
  </si>
  <si>
    <t>Trgovina na malo novinama, papirnatom robom i pisaćim priborom u specijaliziranim prodavaonicama</t>
  </si>
  <si>
    <t>4763</t>
  </si>
  <si>
    <t>Trgovina na malo glazbenim i videozapisima u specijaliziranim prodavaonicama</t>
  </si>
  <si>
    <t>4764</t>
  </si>
  <si>
    <t>Trgovina na malo sportskom opremom u specijaliziranim prodavaonicama</t>
  </si>
  <si>
    <t>4765</t>
  </si>
  <si>
    <t>Proizvodnja ostalih alatnih strojeva</t>
  </si>
  <si>
    <t>2891</t>
  </si>
  <si>
    <t xml:space="preserve">Proizvodnja ostalih proizvoda od betona, cementa i gipsa </t>
  </si>
  <si>
    <t>2370</t>
  </si>
  <si>
    <t>Rezanje, oblikovanje i obrada kamena</t>
  </si>
  <si>
    <t>2391</t>
  </si>
  <si>
    <t>Proizvodnja brusnih proizvoda</t>
  </si>
  <si>
    <t>2399</t>
  </si>
  <si>
    <t>Proizvodnja ostalih nemetalnih mineralnih proizvoda, d. n.</t>
  </si>
  <si>
    <t>2410</t>
  </si>
  <si>
    <t>Proizvodnja sirovog željeza, čelika i ferolegura</t>
  </si>
  <si>
    <t>2420</t>
  </si>
  <si>
    <t>Konsolidirani izvještaji ne mogu se predavati u statističke svrhe. Samo nekonsolidirani izvještaji idu u statističke svrhe, ako je označeno da je izvještaj konsoldiran, šifra svrhe predaje može biti samo 2). Isto tako, konsolidirani izvještaji mogu imati samo vrste izvještaja 10, 11, 20, 30.</t>
  </si>
  <si>
    <t>6831</t>
  </si>
  <si>
    <t>Agencije za poslovanje nekretninama</t>
  </si>
  <si>
    <t>6832</t>
  </si>
  <si>
    <t>Upravljanje nekretninama uz naplatu ili na osnovi ugovora</t>
  </si>
  <si>
    <t>6910</t>
  </si>
  <si>
    <t>Pravne djelatnosti</t>
  </si>
  <si>
    <t>6920</t>
  </si>
  <si>
    <t>Računovodstvene, knjigovodstvene i revizijske djelatnosti; porezno savjetovanje</t>
  </si>
  <si>
    <t>7010</t>
  </si>
  <si>
    <t>Upravljačke djelatnosti</t>
  </si>
  <si>
    <t>7021</t>
  </si>
  <si>
    <t>Odnosi s javnošću i djelatnosti priopćivanja</t>
  </si>
  <si>
    <t>7022</t>
  </si>
  <si>
    <t>Savjetovanje u vezi s poslovanjem i ostalim upravljanjem</t>
  </si>
  <si>
    <t>7111</t>
  </si>
  <si>
    <t>Arhitektonske djelatnosti</t>
  </si>
  <si>
    <t>7112</t>
  </si>
  <si>
    <t>Inženjerstvo i s njim povezano tehničko savjetovanje</t>
  </si>
  <si>
    <t>7120</t>
  </si>
  <si>
    <t>53.</t>
  </si>
  <si>
    <t>54.</t>
  </si>
  <si>
    <t>Veterinarske djelatnosti</t>
  </si>
  <si>
    <t>7711</t>
  </si>
  <si>
    <t>BIL</t>
  </si>
  <si>
    <t>DOD</t>
  </si>
  <si>
    <t>NTI</t>
  </si>
  <si>
    <t>NTD</t>
  </si>
  <si>
    <t>Tehničko ispitivanje i analiza</t>
  </si>
  <si>
    <t>7211</t>
  </si>
  <si>
    <t>Istraživanje i eksperimentalni razvoj u biotehnologiji</t>
  </si>
  <si>
    <t>7219</t>
  </si>
  <si>
    <t>Ostalo istraživanje i eksperimentalni razvoj u prirodnim, tehničkim i tehnološkim znanostima</t>
  </si>
  <si>
    <t>7220</t>
  </si>
  <si>
    <t>Istraživanje i eksperimentalni razvoj u društvenim i humanističkim znanostima</t>
  </si>
  <si>
    <t>7311</t>
  </si>
  <si>
    <t>Agencije za promidžbu (reklamu i propagandu)</t>
  </si>
  <si>
    <t>7312</t>
  </si>
  <si>
    <t>31.</t>
  </si>
  <si>
    <t>32.</t>
  </si>
  <si>
    <t>33.</t>
  </si>
  <si>
    <t>34.</t>
  </si>
  <si>
    <t>35.</t>
  </si>
  <si>
    <t>36.</t>
  </si>
  <si>
    <t>37.</t>
  </si>
  <si>
    <t>38.</t>
  </si>
  <si>
    <t>39.</t>
  </si>
  <si>
    <t>40.</t>
  </si>
  <si>
    <t>41.</t>
  </si>
  <si>
    <t>42.</t>
  </si>
  <si>
    <t>43.</t>
  </si>
  <si>
    <t>44.</t>
  </si>
  <si>
    <t>45.</t>
  </si>
  <si>
    <t>46.</t>
  </si>
  <si>
    <t>47.</t>
  </si>
  <si>
    <t>48.</t>
  </si>
  <si>
    <t>49.</t>
  </si>
  <si>
    <t>50.</t>
  </si>
  <si>
    <t>51.</t>
  </si>
  <si>
    <t>52.</t>
  </si>
  <si>
    <t xml:space="preserve"> 56.  Prihod od građevinske djelatnosti kao podugovaratelj</t>
  </si>
  <si>
    <t xml:space="preserve"> 57.  Prihod od poljoprivrede, šumarstva i ribarstva</t>
  </si>
  <si>
    <t xml:space="preserve"> 58.  Prihod od djelatnosti hotela i restorana</t>
  </si>
  <si>
    <t xml:space="preserve"> 59.  Prihod od djelatnosti prijevoza, skladištenja i veza</t>
  </si>
  <si>
    <t xml:space="preserve"> 60.  Prihod od ostalih djelatnosti (obuhvat prema uputama)</t>
  </si>
  <si>
    <t xml:space="preserve"> 61.  Prihodi od dotacija, državne potpore i subvencija</t>
  </si>
  <si>
    <t xml:space="preserve"> 62.  Prihodi od poslovnog najma nekretnina, opreme i slično</t>
  </si>
  <si>
    <t xml:space="preserve"> 63.  Prihodi od prodaje u zemlji</t>
  </si>
  <si>
    <t xml:space="preserve"> 64.  Prihodi od prodaje u inozemstvu</t>
  </si>
  <si>
    <t xml:space="preserve"> 65.  Troškovi energije</t>
  </si>
  <si>
    <t xml:space="preserve"> 66.  Tekući izdaci za zaštitu okoliša</t>
  </si>
  <si>
    <t xml:space="preserve"> 68.  Troškovi usluga podugovaratelja za industrijsku robu i usluge</t>
  </si>
  <si>
    <t xml:space="preserve"> 69.  Troškovi usluga podugovaratelja za građevinske radove</t>
  </si>
  <si>
    <t xml:space="preserve"> 70.  Troškovi usluga investicijskog održavanja</t>
  </si>
  <si>
    <t xml:space="preserve"> 71.  Troškovi usluga dugoročnog i operativnog leasinga materijalne imovine</t>
  </si>
  <si>
    <t>03454088</t>
  </si>
  <si>
    <t xml:space="preserve">  8. Revalorizacija financijske imovine raspoložive za prodaju</t>
  </si>
  <si>
    <t xml:space="preserve">  9. Ostala revalorizacija</t>
  </si>
  <si>
    <t>Dubravica</t>
  </si>
  <si>
    <t>Našice</t>
  </si>
  <si>
    <t>Štrigova</t>
  </si>
  <si>
    <t>Djelatnosti koje se obavljaju nakon žetve usjeva (priprema usjeva za primarna tržišta)</t>
  </si>
  <si>
    <t>0164</t>
  </si>
  <si>
    <t>Dorada sjemena za sjemenski materijal</t>
  </si>
  <si>
    <t>0170</t>
  </si>
  <si>
    <t>Lov, stupičarenje i uslužne djelatnosti povezane s njima</t>
  </si>
  <si>
    <t>0210</t>
  </si>
  <si>
    <t>Uzgoj šuma i ostale djelatnosti u šumarstvu povezane s njime</t>
  </si>
  <si>
    <t>0220</t>
  </si>
  <si>
    <t xml:space="preserve">Sječa drva </t>
  </si>
  <si>
    <t>0230</t>
  </si>
  <si>
    <t>Skupljanje šumskih plodova i proizvoda, osim šumskih sortimenata</t>
  </si>
  <si>
    <t>0240</t>
  </si>
  <si>
    <t>Pomoćne usluge u šumarstvu</t>
  </si>
  <si>
    <t>0311</t>
  </si>
  <si>
    <t>Morski ribolov</t>
  </si>
  <si>
    <t>0312</t>
  </si>
  <si>
    <t>Slatkovodni ribolov</t>
  </si>
  <si>
    <t>0321</t>
  </si>
  <si>
    <t>Morska akvakultura</t>
  </si>
  <si>
    <t>0322</t>
  </si>
  <si>
    <t>Slatkovodna akvakultura</t>
  </si>
  <si>
    <t>0510</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</si>
  <si>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</si>
  <si>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</si>
  <si>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</si>
  <si>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</si>
  <si>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</si>
  <si>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</si>
  <si>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</si>
  <si>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</si>
  <si>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</si>
  <si>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</si>
  <si>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</si>
  <si>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</si>
  <si>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</si>
  <si>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</si>
  <si>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</si>
  <si>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</si>
  <si>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</si>
  <si>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</si>
  <si>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</si>
  <si>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</si>
  <si>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</si>
  <si>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</si>
  <si>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</si>
  <si>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</si>
  <si>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</si>
  <si>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</si>
  <si>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</si>
  <si>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</si>
  <si>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</si>
  <si>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</si>
  <si>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</si>
  <si>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</si>
  <si>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</si>
  <si>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</si>
  <si>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</si>
  <si>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</si>
  <si>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</si>
  <si>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</si>
  <si>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</si>
  <si>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</si>
  <si>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Obveznici kojima je Trgovački sud registarsko tijelo (predaju obrasce za javnu objavu i u statističke svrhe)</t>
  </si>
  <si>
    <t>Navigacija kroz Excel datoteku, List --&gt;</t>
  </si>
  <si>
    <t>Bilanca</t>
  </si>
  <si>
    <t>Životno osiguranje</t>
  </si>
  <si>
    <t>6512</t>
  </si>
  <si>
    <t>Ostalo osiguranje</t>
  </si>
  <si>
    <t>6520</t>
  </si>
  <si>
    <t>Reosiguranje</t>
  </si>
  <si>
    <t>Vađenje kamenog ugljena</t>
  </si>
  <si>
    <t>0520</t>
  </si>
  <si>
    <t>Vađenje lignita</t>
  </si>
  <si>
    <t>0610</t>
  </si>
  <si>
    <t xml:space="preserve">Vađenje sirove nafte </t>
  </si>
  <si>
    <t>0620</t>
  </si>
  <si>
    <t>Vađenje prirodnog plina</t>
  </si>
  <si>
    <t>0710</t>
  </si>
  <si>
    <t>Vađenje željeznih ruda</t>
  </si>
  <si>
    <t>0721</t>
  </si>
  <si>
    <t>Vađenje uranovih i torijevih ruda</t>
  </si>
  <si>
    <t>0729</t>
  </si>
  <si>
    <t>Vađenje ostalih ruda obojenih metala</t>
  </si>
  <si>
    <t>0811</t>
  </si>
  <si>
    <t>Vađenje ukrasnoga kamena i kamena za gradnju, vapnenca, gipsa, krede i škriljevca</t>
  </si>
  <si>
    <t>0812</t>
  </si>
  <si>
    <t>Djelatnosti šljunčara i pješčara; vađenje gline i kaolina</t>
  </si>
  <si>
    <t>0891</t>
  </si>
  <si>
    <t>Vađenje minerala za kemikalije i gnojiva</t>
  </si>
  <si>
    <t xml:space="preserve">  4. Zadržana dobit ili preneseni gubitak</t>
  </si>
  <si>
    <t xml:space="preserve">  5. Dobit ili gubitak tekuće godine</t>
  </si>
  <si>
    <t xml:space="preserve">  6. Revalorizacija dugotrajne materijalne imovine</t>
  </si>
  <si>
    <t xml:space="preserve">  7. Revalorizacija nematerijalne imovine</t>
  </si>
  <si>
    <r>
      <t>Knjigovodstveni servis</t>
    </r>
    <r>
      <rPr>
        <sz val="8"/>
        <color indexed="56"/>
        <rFont val="Arial"/>
        <family val="2"/>
        <charset val="238"/>
      </rPr>
      <t xml:space="preserve"> (matični broj i naziv) upisuju samo oni obveznici kod kojih ne postoji računovodstvo unutar tvrtke obveznika ili izvještaj sastavlja vanjski knjigovodstveni servis. Prema tome, oni koji sami sastavljaju godišnji izvještaj u polje matični broj i naziv knjigovodstvenog servisa ne upisuju ništa, a oni koji upisuju, matični broj im se mora razlikovati od matičnog broja tvrtke za koju se predaje izvještaj. Pogreška je ako je upisan samo matični bez naziva, naziv bez matičnog ili je matični broj servisa identičan matičnom broju tvrtke za koju se predaje izvještaj.</t>
    </r>
  </si>
  <si>
    <r>
      <t xml:space="preserve">Adresa E-pošte </t>
    </r>
    <r>
      <rPr>
        <sz val="8"/>
        <color indexed="56"/>
        <rFont val="Arial"/>
        <family val="2"/>
        <charset val="238"/>
      </rPr>
      <t>obveznika ili osobe za kontaktiranje moraju biti ispravno upisane. Adresa e-pošte može sadržavati slova engleske abecede (A-Z), brojeve (0 do 9), znak povlake (-), podvlake (_), točku i znak @. Kontrola provjerava jesu li zadovoljena sljedeća pravila: duljina barem 6 znakova, adresa mora sadržavati znak @, barem jednu točku, a ne može sadržavati hrvatske dijakritičke znakove: č, ć, š, ž, đ, zarez, otvorenu i zatvorenu zagradu, točku, točkuzarez, upitnik, uskličnik, jednostruki ili dvostruki navodnik te neke druge specijalne znakove. Adresa ne može početi niti završiti sa točkom. Uvijek se unosi samo jedna jedina adresa, ne više njih. Adresu e-pošte svakako upišite, ali ako je nemate, ne upisujte ništa.</t>
    </r>
  </si>
  <si>
    <t>Djelatnosti restorana i ostalih objekata za pripremu i usluživanje hrane</t>
  </si>
  <si>
    <t>5621</t>
  </si>
  <si>
    <t>Djelatnosti keteringa</t>
  </si>
  <si>
    <t>5629</t>
  </si>
  <si>
    <t>Ostale djelatnosti pripreme i usluživanja hrane</t>
  </si>
  <si>
    <t>5630</t>
  </si>
  <si>
    <t>Djelatnosti pripreme i usluživanja pića</t>
  </si>
  <si>
    <t>5811</t>
  </si>
  <si>
    <t>Izdavanje knjiga</t>
  </si>
  <si>
    <t>5812</t>
  </si>
  <si>
    <t>Izdavanje imenika i popisa korisničkih adresa</t>
  </si>
  <si>
    <t>5813</t>
  </si>
  <si>
    <t>Izdavanje novina</t>
  </si>
  <si>
    <t>5814</t>
  </si>
  <si>
    <t>Izdavanje časopisa i periodičnih publikacija</t>
  </si>
  <si>
    <t>5819</t>
  </si>
  <si>
    <t>U Dodatnim podacima bruto vrijednosti nekih moraju biti veće ili jednake neto vrijednostima istih, tako da za sljedeće AOP oznake moraju biti zadovoljeni ovi uvjeti: 170&gt;=171, 172&gt;=173; 174&gt;=175; 176&gt;=177; 178&gt;=179; 180&gt;=181; 182&gt;=183; 184&gt;=185, 186&gt;=187. Ako je neka od navedenih neto stavki veća od bruta obrazac nije ispravan.</t>
  </si>
  <si>
    <t xml:space="preserve">38. </t>
  </si>
  <si>
    <t xml:space="preserve">39. </t>
  </si>
  <si>
    <t xml:space="preserve">40. </t>
  </si>
  <si>
    <t xml:space="preserve">41. </t>
  </si>
  <si>
    <t xml:space="preserve">42. </t>
  </si>
  <si>
    <t>Proizvodnja proizvoda od gipsa za građevinarstvo</t>
  </si>
  <si>
    <t>2363</t>
  </si>
  <si>
    <t>Proizvodnja gotove betonske smjese</t>
  </si>
  <si>
    <t>2364</t>
  </si>
  <si>
    <t>Proizvodnja žbuke</t>
  </si>
  <si>
    <t>2365</t>
  </si>
  <si>
    <t>Proizvodnja fibro-cementa</t>
  </si>
  <si>
    <t>2369</t>
  </si>
  <si>
    <r>
      <t xml:space="preserve">Kontrola na </t>
    </r>
    <r>
      <rPr>
        <b/>
        <sz val="8"/>
        <color indexed="56"/>
        <rFont val="Arial"/>
        <family val="2"/>
        <charset val="238"/>
      </rPr>
      <t>datum od</t>
    </r>
    <r>
      <rPr>
        <sz val="8"/>
        <color indexed="56"/>
        <rFont val="Arial"/>
        <family val="2"/>
        <charset val="238"/>
      </rPr>
      <t xml:space="preserve"> i </t>
    </r>
    <r>
      <rPr>
        <b/>
        <sz val="8"/>
        <color indexed="56"/>
        <rFont val="Arial"/>
        <family val="2"/>
        <charset val="238"/>
      </rPr>
      <t>datum do</t>
    </r>
    <r>
      <rPr>
        <sz val="8"/>
        <color indexed="56"/>
        <rFont val="Arial"/>
        <family val="2"/>
        <charset val="238"/>
      </rPr>
      <t xml:space="preserve"> te na </t>
    </r>
    <r>
      <rPr>
        <b/>
        <sz val="8"/>
        <color indexed="56"/>
        <rFont val="Arial"/>
        <family val="2"/>
        <charset val="238"/>
      </rPr>
      <t>broj mjeseci poslovanja</t>
    </r>
    <r>
      <rPr>
        <sz val="8"/>
        <color indexed="56"/>
        <rFont val="Arial"/>
        <family val="2"/>
        <charset val="238"/>
      </rPr>
      <t xml:space="preserve">. Broj mjeseci poslovanja ni u jednoj godini ne može biti veći od 12. Isto tako, broj mjeseci poslovanja u tekućoj godini mora odgovarati trajanju razdoblja datuma od i datuma do Računa dobiti u gubitka (za tekuću godinu). Za sve izvještaje osim onih s oznakom vrste izvještaja 32 (početno likvidacijsko izvješće) broj mjeseci poslovanja u prethodnoj godini mora biti veći od nule ako postoje podaci za prethodnu godinu, isto tako za tekuću. Kod vrste izvještaja 32 datum od i datum do razdoblja moraju biti identični, a broj mjeseci poslovanja 0. Kolona prethodne godine kod vrste izvještaja 32 ne smije biti popunjena. Vrsta izvještaja 10 ne može imati završni datum drugačiji od 31.12. Vrsta izvještaja 11 kod predaje za javnu objavu ne može imati završni datum 31.12., ali za kod predaje za statistiku mora imati 31.12. </t>
    </r>
  </si>
  <si>
    <t>Beli Manastir</t>
  </si>
  <si>
    <t>Končanica</t>
  </si>
  <si>
    <t>Ravna Gora</t>
  </si>
  <si>
    <t>Belica</t>
  </si>
  <si>
    <t>Proizvodnja imitacije nakita (bižuterije) i srodnih proizvoda</t>
  </si>
  <si>
    <t>3220</t>
  </si>
  <si>
    <t>Proizvodnja glazbenih instrumenata</t>
  </si>
  <si>
    <t>3230</t>
  </si>
  <si>
    <t>Proizvodnja sportske opreme</t>
  </si>
  <si>
    <t>3240</t>
  </si>
  <si>
    <t>Proizvodnja igara i igračaka</t>
  </si>
  <si>
    <t>3250</t>
  </si>
  <si>
    <t>Proizvodnja medicinskih i stomatoloških instrumenata i pribora</t>
  </si>
  <si>
    <t>3291</t>
  </si>
  <si>
    <t>Proizvodnja metla i četaka</t>
  </si>
  <si>
    <t>3299</t>
  </si>
  <si>
    <t xml:space="preserve">Ostala prerađivačka industrija, d. n. </t>
  </si>
  <si>
    <t>3311</t>
  </si>
  <si>
    <t>Popravak proizvoda od metala</t>
  </si>
  <si>
    <t>3312</t>
  </si>
  <si>
    <t>Popravak strojeva</t>
  </si>
  <si>
    <t>3313</t>
  </si>
  <si>
    <t>Popravak elektroničke i optičke opreme</t>
  </si>
  <si>
    <t>3314</t>
  </si>
  <si>
    <t>Popravak električne opreme</t>
  </si>
  <si>
    <t>3315</t>
  </si>
  <si>
    <t>Popravak i održavanje brodova i čamaca</t>
  </si>
  <si>
    <t>3316</t>
  </si>
  <si>
    <t>Gradnja stambenih i nestambenih zgrada</t>
  </si>
  <si>
    <t>4211</t>
  </si>
  <si>
    <t>Gradnja cesta i autocesta</t>
  </si>
  <si>
    <t>4212</t>
  </si>
  <si>
    <t>Gradnja željezničkih pruga i podzemnih željeznica</t>
  </si>
  <si>
    <t>4213</t>
  </si>
  <si>
    <t>Gradnja mostova i tunela</t>
  </si>
  <si>
    <t>4221</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</si>
  <si>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</si>
  <si>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</si>
  <si>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</si>
  <si>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</si>
  <si>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</si>
  <si>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</si>
  <si>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</si>
  <si>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</si>
  <si>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</si>
  <si>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</si>
  <si>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</si>
  <si>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</si>
  <si>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</si>
  <si>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</si>
  <si>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</si>
  <si>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</si>
  <si>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</si>
  <si>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</si>
  <si>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</si>
  <si>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</si>
  <si>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</si>
  <si>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</si>
  <si>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</si>
  <si>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</si>
  <si>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</si>
  <si>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</si>
  <si>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</si>
  <si>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</si>
  <si>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</si>
  <si>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</si>
  <si>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</si>
  <si>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</si>
  <si>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</si>
  <si>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</si>
  <si>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</si>
  <si>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</si>
  <si>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</si>
  <si>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</si>
  <si>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</si>
  <si>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</si>
  <si>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</si>
  <si>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</si>
  <si>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</si>
  <si>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</si>
  <si>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</si>
  <si>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</si>
  <si>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0111</t>
  </si>
  <si>
    <t>Uzgoj žitarica (osim riže), mahunarki i uljanog sjemenja</t>
  </si>
  <si>
    <t>0112</t>
  </si>
  <si>
    <t>Uzgoj riže</t>
  </si>
  <si>
    <t>0113</t>
  </si>
  <si>
    <t>Uzgoj povrća, dinja i lubenica, korjenastog i gomoljastog povrća</t>
  </si>
  <si>
    <t>0114</t>
  </si>
  <si>
    <t>Uzgoj šećerne trske</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</si>
  <si>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</si>
  <si>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</si>
  <si>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</si>
  <si>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</si>
  <si>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</si>
  <si>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</si>
  <si>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</si>
  <si>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</si>
  <si>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</si>
  <si>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</si>
  <si>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</si>
  <si>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</si>
  <si>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</si>
  <si>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</si>
  <si>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</si>
  <si>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 xml:space="preserve">Uzgoj bobičastog, orašastog i ostalog voća </t>
  </si>
  <si>
    <t>0126</t>
  </si>
  <si>
    <t>Uzgoj uljanih plodova</t>
  </si>
  <si>
    <t>0127</t>
  </si>
  <si>
    <t>1086</t>
  </si>
  <si>
    <t>Proizvodnja homogeniziranih prehrambenih pripravaka i dijetetske hrane</t>
  </si>
  <si>
    <t>1089</t>
  </si>
  <si>
    <t xml:space="preserve">Proizvodnja ostalih prehrambenih proizvoda, d. n. </t>
  </si>
  <si>
    <t>1091</t>
  </si>
  <si>
    <t>Proizvodnja pripremljene stočne hrane</t>
  </si>
  <si>
    <t>1092</t>
  </si>
  <si>
    <t>Proizvodnja pripremljene hrane za kućne ljubimce</t>
  </si>
  <si>
    <t>1101</t>
  </si>
  <si>
    <t>Ako su Dodatni podaci popunjeni (predaja za statističke svrhe), mora biti zadovoljen uvjet da bruto iznos nekih stavaka u Dodatnim podacima mora biti veći ili jednak neto iznosu u Bilanci, tj. AOP 160 &gt;= AOP 012.</t>
  </si>
  <si>
    <t>Ako su Dodatni podaci popunjeni (predaja za statističke svrhe), mora biti zadovoljen uvjet da bruto iznos nekih stavaka u Dodatnim podacima mora biti veći ili jednak neto iznosu u Bilanci, tj. AOP 161 &gt;= AOP 013.</t>
  </si>
  <si>
    <t>Ako su Dodatni podaci popunjeni (predaja za statističke svrhe), mora biti zadovoljen uvjet da bruto iznos nekih stavaka u Dodatnim podacima mora biti veći ili jednak neto iznosu u Bilanci, tj. AOP 162 &gt;= AOP 014.</t>
  </si>
  <si>
    <t>Pomoćne djelatnosti za uzgoj usjeva</t>
  </si>
  <si>
    <t>0162</t>
  </si>
  <si>
    <t>Pomoćne djelatnosti za uzgoj životinja</t>
  </si>
  <si>
    <t>0163</t>
  </si>
  <si>
    <t>010006549</t>
  </si>
  <si>
    <t>18928523252</t>
  </si>
  <si>
    <t>A1) NETO POVEĆANJE NOVČANOG TIJEKA OD POSLOVNIH
       AKTIVNOSTI (007-012)</t>
  </si>
  <si>
    <t>A2) NETO SMANJENJE NOVČANOG TIJEKA OD POSLOVNIH
       AKTIVNOSTI (012-007)</t>
  </si>
  <si>
    <t>B1) NETO POVEĆANJE NOVČANOG TIJEKA OD INVESTICIJSKIH
       AKTIVNOSTI (020-024)</t>
  </si>
  <si>
    <t>B2) NETO SMANJENJE NOVČANOG TIJEKA OD INVESTICIJSKIH
       AKTIVNOSTI (024-020)</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</si>
  <si>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</si>
  <si>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</si>
  <si>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</si>
  <si>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</si>
  <si>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</si>
  <si>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</si>
  <si>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 xml:space="preserve">   1. Smanjenje kratkoročnih obveza</t>
  </si>
  <si>
    <t xml:space="preserve">   2. Povećanje kratkotrajnih potraživanja</t>
  </si>
  <si>
    <t xml:space="preserve">   3. Povećanje zaliha</t>
  </si>
  <si>
    <t xml:space="preserve">   4. Ostalo smanjenje novčanog tijeka</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</si>
  <si>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</si>
  <si>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</si>
  <si>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</si>
  <si>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</si>
  <si>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</si>
  <si>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</si>
  <si>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</si>
  <si>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</si>
  <si>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C1) NETO POVEĆANJE NOVČANOG TIJEKA OD FINANCIJSKIH
       AKTIVNOSTI (030-036)</t>
  </si>
  <si>
    <t>C2) NETO SMANJENJE NOVČANOG TIJEKA OD FINANCIJSKIH
       AKTIVNOSTI (036-030)</t>
  </si>
  <si>
    <t xml:space="preserve"> 12. Predujmovi za materijalnu imovinu - bruto</t>
  </si>
  <si>
    <t xml:space="preserve"> 13. Materijalna imovina u pripremi - bruto</t>
  </si>
  <si>
    <t>Usluge zaštite uz pomoć sigurnosnih sustava</t>
  </si>
  <si>
    <t>8030</t>
  </si>
  <si>
    <t>Istražne djelatnosti</t>
  </si>
  <si>
    <t>8110</t>
  </si>
  <si>
    <t>Upravljanje zgradama</t>
  </si>
  <si>
    <t>8121</t>
  </si>
  <si>
    <t>Osnovno čišćenje zgrada</t>
  </si>
  <si>
    <t>8122</t>
  </si>
  <si>
    <t>Ostale djelatnosti čišćenja zgrada i objekata</t>
  </si>
  <si>
    <t>8129</t>
  </si>
  <si>
    <t>Ostale djelatnosti čišćenja</t>
  </si>
  <si>
    <t>8130</t>
  </si>
  <si>
    <t>Uslužne djelatnosti uređenja i održavanja krajolika</t>
  </si>
  <si>
    <t>8211</t>
  </si>
  <si>
    <t>Kombinirane uredske administrativne uslužne djelatnosti</t>
  </si>
  <si>
    <t>8219</t>
  </si>
  <si>
    <t>Fotokopiranje, priprema dokumenata i ostale specijalizirane uredske pomoćne djelatnosti</t>
  </si>
  <si>
    <t>8220</t>
  </si>
  <si>
    <t>Djelatnosti pozivnih centara</t>
  </si>
  <si>
    <t>8230</t>
  </si>
  <si>
    <r>
      <t xml:space="preserve">Obrazac </t>
    </r>
    <r>
      <rPr>
        <b/>
        <sz val="8"/>
        <color indexed="56"/>
        <rFont val="Arial"/>
        <family val="2"/>
        <charset val="238"/>
      </rPr>
      <t>Dodatni podaci</t>
    </r>
    <r>
      <rPr>
        <sz val="8"/>
        <color indexed="56"/>
        <rFont val="Arial"/>
        <family val="2"/>
        <charset val="238"/>
      </rPr>
      <t xml:space="preserve"> popunjava se ako se izvještaj predaje za statističke svrhe (bez obzira predaje li se samo za potrebe statistike ili ujedno služi i za potrebe javne objave). Dodatni podaci predaje se samo uz vrste izvještaja 10, 11, 20, 30. </t>
    </r>
    <r>
      <rPr>
        <b/>
        <sz val="8"/>
        <color indexed="56"/>
        <rFont val="Arial"/>
        <family val="2"/>
        <charset val="238"/>
      </rPr>
      <t>Ostale vrste izvještaja ne mogu se predavati u statističke svrhe</t>
    </r>
    <r>
      <rPr>
        <sz val="8"/>
        <color indexed="56"/>
        <rFont val="Arial"/>
        <family val="2"/>
        <charset val="238"/>
      </rPr>
      <t>. Kontrola je neispravna ako Dodatni podaci nisu popunjeni, a trebaju biti; ako su upisani, a predaja je samo u svrhu javne objave ili ako su neke kolone (prethodna i tekuća godina) popunjene u Bilanci a nisu u Dodatnim podacima i obratno.</t>
    </r>
  </si>
  <si>
    <r>
      <t>Bilješke uz financijske izvještaje</t>
    </r>
    <r>
      <rPr>
        <sz val="8"/>
        <color indexed="56"/>
        <rFont val="Arial"/>
        <family val="2"/>
        <charset val="238"/>
      </rPr>
      <t xml:space="preserve"> predaju se u svrhu javne objave (samo za javnu objavu ili za javnu objavu i statistiku). Bilješka uz financijske izještaje obavezna je za sve vrste izvještaja, a ne predaje se ako je svrha predaje samo u statističke potrebe. Pogreška je kada je u Općim podacima označeno "NE", a treba biti "DA" ili nije upisano ni "NE" ni "DA".</t>
    </r>
  </si>
  <si>
    <r>
      <t>Izvještaj o novčanom toku</t>
    </r>
    <r>
      <rPr>
        <sz val="8"/>
        <color indexed="56"/>
        <rFont val="Arial"/>
        <family val="2"/>
        <charset val="238"/>
      </rPr>
      <t xml:space="preserve"> dužni su dostaviti svi srednje veliki i veliki obveznici koji predaju izvještaj za potrebe javne objave. Postoje dvije vrste Izvještaja o novčanom toku, po </t>
    </r>
    <r>
      <rPr>
        <b/>
        <sz val="8"/>
        <color indexed="56"/>
        <rFont val="Arial"/>
        <family val="2"/>
        <charset val="238"/>
      </rPr>
      <t xml:space="preserve">direktnoj metodi (POD-NTD) </t>
    </r>
    <r>
      <rPr>
        <sz val="8"/>
        <color indexed="56"/>
        <rFont val="Arial"/>
        <family val="2"/>
        <charset val="238"/>
      </rPr>
      <t xml:space="preserve">i </t>
    </r>
    <r>
      <rPr>
        <b/>
        <sz val="8"/>
        <color indexed="56"/>
        <rFont val="Arial"/>
        <family val="2"/>
        <charset val="238"/>
      </rPr>
      <t>indirektnoj metodi (POD-NTI)</t>
    </r>
    <r>
      <rPr>
        <sz val="8"/>
        <color indexed="56"/>
        <rFont val="Arial"/>
        <family val="2"/>
        <charset val="238"/>
      </rPr>
      <t>. Svaki obveznik koji je dužan popuniti ovaj izvještaj popunjava samo jedan od dva navedena izvještaja - ovisno o primijenjenim računovodstvenim politikama. Kontrola je neispravna ako su popunjena oba izvještaja, ili nije ni jedan, a obveznik ga je dužan popuniti. Ovaj izvještaj se ne popunjava ako je svrha predaje samo statističke potrebe, ako je veličina mali ili je vrsta izvještaja 32. Kontrola provjerava i popunjenost kolona u izvještaju, ako u bilanci i računu dobiti gubitka nije popunjena kolona prethodne godine, ne može biti ni u NT-u, isto tako, ako je kolona prethodne godine popunjena u bilanci i računu dobiti i gubitka, mora i u NT-u.</t>
    </r>
  </si>
  <si>
    <t>više od 65.000.000 kn</t>
  </si>
  <si>
    <t>više od 32.500.000 kn</t>
  </si>
  <si>
    <t>više od 250 zaposlenih</t>
  </si>
  <si>
    <t>više od 50 zaposlenih</t>
  </si>
  <si>
    <t>Izračun veličine poduzetnika:</t>
  </si>
  <si>
    <t>SREDNJI:</t>
  </si>
  <si>
    <t>VELIKI:</t>
  </si>
  <si>
    <t xml:space="preserve"> 26.  Dugoročni dužnički vrijednosni papiri opće države - bruto</t>
  </si>
  <si>
    <t xml:space="preserve"> 28.  Kratkoročni dužnički vrijednosni papiri opće države - bruto</t>
  </si>
  <si>
    <t xml:space="preserve"> 29.  Udjeli u investicijskim fondovima - bruto</t>
  </si>
  <si>
    <t xml:space="preserve"> 30.  Dugoročni zajmovi stanovništvu (potrošački...) - bruto</t>
  </si>
  <si>
    <t xml:space="preserve"> 31.  Dugoročni zajmovi neprofitnim institucijama - bruto</t>
  </si>
  <si>
    <t xml:space="preserve"> 32.  Dugoročni zajmovi trgovačkim društvima - bruto</t>
  </si>
  <si>
    <t xml:space="preserve"> 33.  Kratkoročni zajmovi stanovništvu (potrošački...) - bruto</t>
  </si>
  <si>
    <t xml:space="preserve"> 34.  Kratkoročni zajmovi neprofitnim institucijama - bruto</t>
  </si>
  <si>
    <t xml:space="preserve"> 35.  Kratkoročni zajmovi trgovačkim društvima - bruto</t>
  </si>
  <si>
    <t xml:space="preserve"> 36.  Dugoročni trgovački krediti i predujmovi - ukupno bruto</t>
  </si>
  <si>
    <t xml:space="preserve"> 38.  Dugoročni trgovački krediti i predujmovi stanovništvu - bruto</t>
  </si>
  <si>
    <t xml:space="preserve"> 39.  Kratkoročni trgovački krediti i predujmovi - ukupno - bruto</t>
  </si>
  <si>
    <t xml:space="preserve"> 41.  Kratkoročni krediti i predujmovi stanovništvu - bruto</t>
  </si>
  <si>
    <t xml:space="preserve"> 42.  Dugoročni zajmovi primljeni od rezidentnih trgovačkih društava</t>
  </si>
  <si>
    <t xml:space="preserve"> 43.  Kratkoročni zajmovi primljeni od rezidentnih trgovačkih društava</t>
  </si>
  <si>
    <t xml:space="preserve"> 44.  Zajmovi primljeni od nerezidenata (dugoročni i kratkoročni)</t>
  </si>
  <si>
    <t xml:space="preserve"> 45.  Dugoročni trgovački krediti i predujmovi - ukupno</t>
  </si>
  <si>
    <t xml:space="preserve"> 46.  Dugoročni trgovački krediti i predujmovi od trgovačkih društava</t>
  </si>
  <si>
    <t xml:space="preserve"> 47.  Dugoročni trgovački krediti i predujmovi od stanovništva </t>
  </si>
  <si>
    <t xml:space="preserve"> 48.  Kratkoročni trgovački krediti i predujmovi - ukupno</t>
  </si>
  <si>
    <t xml:space="preserve"> 49.  Kratkoročni trgovački krediti i predujmovi od trgovačkih društava</t>
  </si>
  <si>
    <t>Kontrole upozorenja (kontrole koje vrijede samo u posebnim slučajevima ili samo upozoravaju na mogućnost pogreške prilikom unosa podataka)</t>
  </si>
  <si>
    <t>Vrsta posla: 777</t>
  </si>
  <si>
    <t>Prerada i konzerviranje mesa</t>
  </si>
  <si>
    <t>1012</t>
  </si>
  <si>
    <t>Prerada i konzerviranje mesa peradi</t>
  </si>
  <si>
    <t>1013</t>
  </si>
  <si>
    <t>Proizvodnja proizvoda od mesa i mesa peradi</t>
  </si>
  <si>
    <t>1020</t>
  </si>
  <si>
    <t xml:space="preserve">Prerada i konzerviranje riba, rakova i školjki </t>
  </si>
  <si>
    <t>1031</t>
  </si>
  <si>
    <t>Prerada i konzerviranje krumpira</t>
  </si>
  <si>
    <t>1032</t>
  </si>
  <si>
    <t>Proizvodnja sokova od voća i povrća</t>
  </si>
  <si>
    <t>1039</t>
  </si>
  <si>
    <t>Ostala prerada i konzerviranje voća i povrća</t>
  </si>
  <si>
    <t>1041</t>
  </si>
  <si>
    <t>Proizvodnja ulja i masti</t>
  </si>
  <si>
    <t>1042</t>
  </si>
  <si>
    <t>Opće srednje obrazovanje</t>
  </si>
  <si>
    <t>8532</t>
  </si>
  <si>
    <t>Stavka Gubitak poslovne godine u Bilanci (AOP 075) mora biti jednaka stavci Gubitak razdoblja (AOP 148) u Računu dobiti i gubitka, u obje kolone podataka. Ovaj uvjet ne vrijedi kod vrste izvještaja 32 gdje se predaje samo početna likvidacijska bilanca, bez računa dobiti i gubitka, te ako je ostvaren gubitak iznad visine kapitala. Dozvoljava se razlika od 1 kn zbog zaokruživanja iznosa.</t>
  </si>
  <si>
    <t>Trgovina na malo kruhom, pecivom, kolačima, tjesteninama, bombonima i slatkišima u specijaliziranim prodavaonicama</t>
  </si>
  <si>
    <t>4725</t>
  </si>
  <si>
    <t>Trgovina na malo pićima u specijaliziranim prodavaonicama</t>
  </si>
  <si>
    <t>4726</t>
  </si>
  <si>
    <t>U Bilanci i računu dobiti i gubitka svi iznosi moraju biti veći ili jednaki nuli. Negativna vrijednost dozvoljena je samo na AOP poziciji 071 (Revalorizacijske rezerve) bilance, te iznimno i na AOP oznaci 146 računa dobiti i gubitka (Porez na dobit) i to samo u slučaju da poduzetnik ima odgođenu poreznu imovinu koja je veća od iznosa stvarno plaćenog poreza.</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</si>
  <si>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</si>
  <si>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</si>
  <si>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</si>
  <si>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</si>
  <si>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</si>
  <si>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</si>
  <si>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</si>
  <si>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</si>
  <si>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</si>
  <si>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</si>
  <si>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</si>
  <si>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</si>
  <si>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</si>
  <si>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</si>
  <si>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</si>
  <si>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</si>
  <si>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</si>
  <si>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</si>
  <si>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</si>
  <si>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</si>
  <si>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</si>
  <si>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</si>
  <si>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Trgovina na malo električnim aparatima za kućanstvo u specijaliziranim prodavaonicama</t>
  </si>
  <si>
    <t>4759</t>
  </si>
  <si>
    <t>Trgovina na malo namještajem, opremom za rasvjetu i ostalim proizvodima za kućanstvo u specijaliziranim prodavaonicama</t>
  </si>
  <si>
    <t>4761</t>
  </si>
  <si>
    <t>Trgovina na malo knjigama u specijaliziranim prodavaonicama</t>
  </si>
  <si>
    <t>4762</t>
  </si>
  <si>
    <t>IZNOS12</t>
  </si>
  <si>
    <t>IZNOS13</t>
  </si>
  <si>
    <t>IZNOS14</t>
  </si>
  <si>
    <t>IZNOS15</t>
  </si>
  <si>
    <t>KONS_MB</t>
  </si>
  <si>
    <t>KONS_NAZ</t>
  </si>
  <si>
    <t>KONS_MJ</t>
  </si>
  <si>
    <t>KONS_POST</t>
  </si>
  <si>
    <t>Prezime i ime:</t>
  </si>
  <si>
    <t>OVL_OSOBA</t>
  </si>
  <si>
    <t>KONTAKT_EMAIL</t>
  </si>
  <si>
    <t>IMABILJ</t>
  </si>
  <si>
    <t>IMAREVIZ</t>
  </si>
  <si>
    <t>IMAGODIZV</t>
  </si>
  <si>
    <t>IMAODLRASP</t>
  </si>
  <si>
    <t>IMAODLUTVR</t>
  </si>
  <si>
    <t>XVII.* GUBITAK PRIPISAN MANJINSKOM INTERESU</t>
  </si>
  <si>
    <t>II. POSLOVNI RASHODI (112-113+114+118+122+123+124+127+128)</t>
  </si>
  <si>
    <t>Prethodna godina</t>
  </si>
  <si>
    <t>Tekuća godina</t>
  </si>
  <si>
    <t xml:space="preserve">   1. Prihodi od prodaje</t>
  </si>
  <si>
    <t xml:space="preserve">   2. Prihodi na temelju upotrebe vlastitih proizvoda, robe i usluga</t>
  </si>
  <si>
    <t xml:space="preserve">   3. Ostali poslovni prihodi</t>
  </si>
  <si>
    <t xml:space="preserve">    3. Materijalni troškovi (115 do 117)</t>
  </si>
  <si>
    <t xml:space="preserve">        a) Troškovi sirovina i materijala</t>
  </si>
  <si>
    <t xml:space="preserve">        b) Troškovi prodane robe</t>
  </si>
  <si>
    <t>Ostale zabavne i rekreacijske djelatnosti</t>
  </si>
  <si>
    <t>9411</t>
  </si>
  <si>
    <t>II. Ukupno smanjenje novčanog tijeka od poslovnih aktivnosti (008 do 011)</t>
  </si>
  <si>
    <t>NOVČANI TIJEK OD INVESTICIJSKIH AKTIVNOSTI</t>
  </si>
  <si>
    <t>NOVČANI TIJEK OD FINANCIJSKIH AKTIVNOSTI</t>
  </si>
  <si>
    <t>Novac i novčani ekvivalenti na početku razdoblja</t>
  </si>
  <si>
    <t>Povećanje  novca i novčanih ekvivalenata</t>
  </si>
  <si>
    <t>Smanjenje novca i novčanih ekvivalenata</t>
  </si>
  <si>
    <t>Odmarališta i slični objekti za kraći odmor</t>
  </si>
  <si>
    <t>5530</t>
  </si>
  <si>
    <t>Kampovi i prostori za kampiranje</t>
  </si>
  <si>
    <t>5590</t>
  </si>
  <si>
    <t>Ostali smještaj</t>
  </si>
  <si>
    <t>5610</t>
  </si>
  <si>
    <r>
      <t>Upozorenje na broj zaposlenih</t>
    </r>
    <r>
      <rPr>
        <sz val="8"/>
        <color indexed="56"/>
        <rFont val="Arial"/>
        <family val="2"/>
        <charset val="238"/>
      </rPr>
      <t>. Ova kontrola samo upozorava ako je broj zaposlenih veći od 1000 (na bilo kojoj poziciji broja zaposlenih) ili ako je razlika broja zaposlenih prema stanju i satima rada (ili tekuće godine u odnosu na prethodnu) veća nego je to uobičajeno (više od 20%). Svrha ove kontorle je da ukaže na mogućnost pogreške u broju zaposlenih. Provjerite upisane vrijednosti na Referentnoj stranici (radni list Opci) i ako je broj zaposlenih ispravno upisan u sva 4 polja kontrolu zanemarite.</t>
    </r>
  </si>
  <si>
    <t xml:space="preserve">     3. Sudjelujući interesi (udjeli) </t>
  </si>
  <si>
    <t>Javno trgovačko društvo</t>
  </si>
  <si>
    <t>Komanditno društvo</t>
  </si>
  <si>
    <t>Gospodarsko interesno udruženje</t>
  </si>
  <si>
    <t>Dioničko društvo</t>
  </si>
  <si>
    <t>Društvo s ograničenom odgovornošću</t>
  </si>
  <si>
    <t>Trgovac pojedinac</t>
  </si>
  <si>
    <t>Zadruga</t>
  </si>
  <si>
    <t>Druga osoba za koje je upis propisan zakonom</t>
  </si>
  <si>
    <t>Inozemni osnivač</t>
  </si>
  <si>
    <t>Obrtnik, obveznik poreza na dobit</t>
  </si>
  <si>
    <t>Slobodno zanimanje</t>
  </si>
  <si>
    <t>Obiteljsko gospodarstvo</t>
  </si>
  <si>
    <t>Privatna osoba, obveznik poreza na dobit</t>
  </si>
  <si>
    <t>. godinu</t>
  </si>
  <si>
    <t>A1) NETO POVEĆANJE NOVČANOG TIJEKA OD POSLOVNIH 
       AKTIVNOSTI (006-013)</t>
  </si>
  <si>
    <t>A2) NETO SMANJENJE NOVČANOG TIJEKA OD POSLOVNIH 
       AKTIVNOSTI (013-006)</t>
  </si>
  <si>
    <t>B1) NETO POVEĆANJE NOVČANOG TIJEKA OD INVESTICIJSKIH
       AKTIVNOSTI (021-025)</t>
  </si>
  <si>
    <t>B2) NETO SMANJENJE NOVČANOG TIJEKA OD INVESTICIJSKIH
       AKTIVNOSTI (025-021)</t>
  </si>
  <si>
    <t>C1) NETO POVEĆANJE NOVČANOG TIJEKA OD FINANCIJSKIH
       AKTIVNOSTI (031-037)</t>
  </si>
  <si>
    <t>C2) NETO SMANJENJE NOVČANOG TIJEKA OD FINANCIJSKIH
       AKTIVNOSTI (037-031)</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</si>
  <si>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</si>
  <si>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</si>
  <si>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</si>
  <si>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</si>
  <si>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</si>
  <si>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</si>
  <si>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</si>
  <si>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</si>
  <si>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17. Ukupno povećanje ili smanjenje kapitala (AOP 011 do 016)</t>
  </si>
  <si>
    <t>Beograd, Srbija</t>
  </si>
  <si>
    <t>Skopje, Makedonija</t>
  </si>
  <si>
    <t>Sarajevo, Bosna i Hercegovina</t>
  </si>
  <si>
    <t>Geretsried, Njemačka</t>
  </si>
  <si>
    <t>Budimpešta, Mađarska</t>
  </si>
  <si>
    <t>Sofia, Bugarska</t>
  </si>
  <si>
    <t>Sydney, Australija</t>
  </si>
  <si>
    <t>Bratislava, Slovačka</t>
  </si>
  <si>
    <t>Kostrzyn, Poljska</t>
  </si>
  <si>
    <t>Bukurešt, Rumunjska</t>
  </si>
  <si>
    <t>Podgorica, Crna Gora</t>
  </si>
  <si>
    <t>Dolni Lhota u Luhačovic, Češka</t>
  </si>
  <si>
    <t>Wilmington, SAD</t>
  </si>
  <si>
    <t>PODRAVKA GRUPA</t>
  </si>
  <si>
    <t>048 651 665</t>
  </si>
  <si>
    <t>DA</t>
  </si>
  <si>
    <t xml:space="preserve">46. </t>
  </si>
  <si>
    <t xml:space="preserve">47. </t>
  </si>
  <si>
    <t>razmak</t>
  </si>
  <si>
    <t>točka na kraju</t>
  </si>
  <si>
    <t>Samo obveznici čije je registarko tijelo Trgovački sud mogu predati izvještaje za javnu objavu. Ova kontrola je neispravna ako je pod svrhom predaje označena i javna objava, a šifra vrste poslovnog subjekta je veća od 6.</t>
  </si>
  <si>
    <t>Iznajmljivanje i davanje u zakup (leasing) automobila i motornih vozila lake kategorije</t>
  </si>
  <si>
    <t>7712</t>
  </si>
  <si>
    <t xml:space="preserve">Iznajmljivanje i davanje u zakup (leasing) kamiona </t>
  </si>
  <si>
    <t>7721</t>
  </si>
  <si>
    <t>Iznajmljivanje i davanje u zakup (lea­sing) opreme za rekreaciju i sport</t>
  </si>
  <si>
    <t>7722</t>
  </si>
  <si>
    <t>Iznajmljivanje videokaseta i diskova</t>
  </si>
  <si>
    <t>7729</t>
  </si>
  <si>
    <t>Iznajmljivanje i davanje u zakup (leasing) ostalih predmeta za osobnu uporabu i kućanstvo</t>
  </si>
  <si>
    <t>7731</t>
  </si>
  <si>
    <t>Iznajmljivanje i davanje u zakup (leasing) poljoprivrednih strojeva i opreme</t>
  </si>
  <si>
    <t>7732</t>
  </si>
  <si>
    <t>Iznajmljivanje i davanje u zakup (leasing) strojeva i opreme za građevinarstvo i inženjerstvo</t>
  </si>
  <si>
    <t>7733</t>
  </si>
  <si>
    <t xml:space="preserve">Knjigoveške i srodne usluge </t>
  </si>
  <si>
    <t>1820</t>
  </si>
  <si>
    <t>Umnožavanje snimljenih zapisa</t>
  </si>
  <si>
    <t>1910</t>
  </si>
  <si>
    <t>Proizvodnja proizvoda koksnih peći</t>
  </si>
  <si>
    <t>1920</t>
  </si>
  <si>
    <t>Proizvodnja rafiniranih naftnih proizvoda</t>
  </si>
  <si>
    <t>2011</t>
  </si>
  <si>
    <t>Proizvodnja industrijskih plinova</t>
  </si>
  <si>
    <t>2012</t>
  </si>
  <si>
    <t>Proizvodnja koloranata i pigmenata</t>
  </si>
  <si>
    <t>2013</t>
  </si>
  <si>
    <t>Proizvodnja ostalih anorganskih osnovnih kemikalija</t>
  </si>
  <si>
    <t>2014</t>
  </si>
  <si>
    <t>Proizvodnja ostalih organskih osnovnih kemikalija</t>
  </si>
  <si>
    <t>2015</t>
  </si>
  <si>
    <t>Proizvodnja gnojiva i dušičnih spojeva</t>
  </si>
  <si>
    <t>2016</t>
  </si>
  <si>
    <t>Proizvodnja plastike u primarnim oblicima</t>
  </si>
  <si>
    <t>2017</t>
  </si>
  <si>
    <t>Proizvodnja sintetičkoga kaučuka u primarnim oblicima</t>
  </si>
  <si>
    <t>2020</t>
  </si>
  <si>
    <t>Proizvodnja komunikacijske opreme</t>
  </si>
  <si>
    <t>2640</t>
  </si>
  <si>
    <t>Proizvodnja elektroničkih uređaja za široku potrošnju</t>
  </si>
  <si>
    <t>2651</t>
  </si>
  <si>
    <t>Ako su Dodatni podaci popunjeni (predaja za statističke svrhe), mora biti zadovoljen uvjet da bruto iznos nekih stavaka u Dodatnim podacima mora biti veći ili jednak neto iznosu u Bilanci, tj. AOP 159 &gt;= AOP 011.</t>
  </si>
  <si>
    <t>B)  DUGOTRAJNA IMOVINA (003+010+020+028+032)</t>
  </si>
  <si>
    <t>I. NEMATERIJALNA IMOVINA (004 do 009)</t>
  </si>
  <si>
    <t>II. MATERIJALNA IMOVINA (011 do 019)</t>
  </si>
  <si>
    <t>III. DUGOTRAJNA FINANCIJSKA IMOVINA (021 do 027)</t>
  </si>
  <si>
    <t>IV. POTRAŽIVANJA (029 do 031)</t>
  </si>
  <si>
    <t>V. ODGOĐENA POREZNA IMOVINA</t>
  </si>
  <si>
    <t>C)  KRATKOTRAJNA IMOVINA (034+042+049+057)</t>
  </si>
  <si>
    <t>I. ZALIHE (035 do 041)</t>
  </si>
  <si>
    <t>II. POTRAŽIVANJA (043 do 048)</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</si>
  <si>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</si>
  <si>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</si>
  <si>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</si>
  <si>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</si>
  <si>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(050 do 056)</t>
  </si>
  <si>
    <t>VII. DOBIT POSLOVNE GODINE</t>
  </si>
  <si>
    <t>VIII. GUBITAK POSLOVNE GODINE</t>
  </si>
  <si>
    <t>IX. MANJINSKI INTERES</t>
  </si>
  <si>
    <t>B)  REZERVIRANJA (078 do 080)</t>
  </si>
  <si>
    <t>C)  DUGOROČNE OBVEZE (082 do 089)</t>
  </si>
  <si>
    <t>D)  KRATKOROČNE OBVEZE (091 do 101)</t>
  </si>
  <si>
    <t>KAPITAL I REZERVE</t>
  </si>
  <si>
    <t>1. Pripisano imateljima kapitala matice</t>
  </si>
  <si>
    <t>2. Pripisano manjinskom interesu</t>
  </si>
  <si>
    <t>Prethodna godina
(neto)</t>
  </si>
  <si>
    <t>Tekuća godina
(neto)</t>
  </si>
  <si>
    <t xml:space="preserve">   1. Izdaci za razvoj</t>
  </si>
  <si>
    <t xml:space="preserve">   3. Goodwill</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</si>
  <si>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</si>
  <si>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</si>
  <si>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</si>
  <si>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</si>
  <si>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</si>
  <si>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</si>
  <si>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</si>
  <si>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</si>
  <si>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</si>
  <si>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</si>
  <si>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Proizvodnja proizvoda od plastike za građevinarstvo</t>
  </si>
  <si>
    <t>2229</t>
  </si>
  <si>
    <t>Proizvodnja ostalih proizvoda od plastike</t>
  </si>
  <si>
    <t>2311</t>
  </si>
  <si>
    <t>Proizvodnja ravnog stakla</t>
  </si>
  <si>
    <t>2312</t>
  </si>
  <si>
    <t>Oblikovanje i obrada ravnog stakla</t>
  </si>
  <si>
    <t>2313</t>
  </si>
  <si>
    <t>Proizvodnja šupljeg stakla</t>
  </si>
  <si>
    <t>2314</t>
  </si>
  <si>
    <t>Proizvodnja staklenih vlakana</t>
  </si>
  <si>
    <t>2319</t>
  </si>
  <si>
    <t>Proizvodnja i obrada ostalog stakla uključujući tehničku robu od stakla</t>
  </si>
  <si>
    <t>2320</t>
  </si>
  <si>
    <t>Proizvodnja vatrostalnih proizvoda</t>
  </si>
  <si>
    <t>2331</t>
  </si>
  <si>
    <t>Izvještaj kojeg sastavlja obveznik za razdoblje od početka godine do dana koji prethodi danu otvaranja stečajnog postupka.</t>
  </si>
  <si>
    <t>Izvještaj kojeg ispunjava obveznik  likvidaciji.</t>
  </si>
  <si>
    <t>Izvještaj kojeg sastavlja obveznik za razdoblje od početka godine do dana koji prethodi danu otvaranja likvidacijskog postupka.</t>
  </si>
  <si>
    <t>Izvještaj kojeg sastavlja obveznik nad kojim je tijekom poslovne godine otvoren likvidacijski postupak  (početno likvidacijsko izvješće).</t>
  </si>
  <si>
    <t>Izvještaj kojeg sastavlja  obveznika koji zbog statusnih promjena gubi pravnu osobnost.</t>
  </si>
  <si>
    <t xml:space="preserve"> 82.  Ostali troškovi i rashodi drugih aktivnosti (npr. troškovi reklamacija i uzoraka,
         otpis imovine, manjkovi i krađe, kazne, penali, darovanja i sl.)</t>
  </si>
  <si>
    <t xml:space="preserve"> 84.  Prihodi od dividendi (s povezanim i nepovezanim poduzetnicima i
         drugim osobama)</t>
  </si>
  <si>
    <t>II.  Ukupno novčani izdaci od poslovnih aktivnosti (007 do 012)</t>
  </si>
  <si>
    <t xml:space="preserve">     3. Novčani primici od kamata*</t>
  </si>
  <si>
    <t xml:space="preserve">     4. Novčani primici od dividendi*</t>
  </si>
  <si>
    <t>IV. Ukupno novčani izdaci od investicijskih aktivnosti (022 do 024)</t>
  </si>
  <si>
    <t>V. Ukupno novčani primici od financijskih aktivnosti (028 do 030)</t>
  </si>
  <si>
    <t>VI. Ukupno novčani izdaci od financijskih aktivnosti (032 do 036)</t>
  </si>
  <si>
    <t>Ukupno povećanje novčanog tijeka (014 – 015 + 026 – 027 + 038 – 039)</t>
  </si>
  <si>
    <t>4634</t>
  </si>
  <si>
    <t>Trgovina na veliko pićima</t>
  </si>
  <si>
    <t>4635</t>
  </si>
  <si>
    <t>Trgovina na veliko duhanskim proizvodima</t>
  </si>
  <si>
    <t>4636</t>
  </si>
  <si>
    <t>Trgovina na veliko šećerom, čokoladom i bombonima</t>
  </si>
  <si>
    <t>4637</t>
  </si>
  <si>
    <t>Trgovina na veliko kavom, čajem, kakaom i začinima</t>
  </si>
  <si>
    <t>4638</t>
  </si>
  <si>
    <t>Trgovina na veliko ostalom hranom uključujući ribe, rakove i školjke</t>
  </si>
  <si>
    <t>4639</t>
  </si>
  <si>
    <t>Nespecijalizirana trgovina na veliko hranom, pićima i duhanskim proizvodima</t>
  </si>
  <si>
    <t>4641</t>
  </si>
  <si>
    <t>Trgovina na veliko tekstilom</t>
  </si>
  <si>
    <t>4642</t>
  </si>
  <si>
    <t>Trgovina na veliko odjećom i obućom</t>
  </si>
  <si>
    <t>4643</t>
  </si>
  <si>
    <t>Trgovina na veliko električnim aparatima za kućanstvo</t>
  </si>
  <si>
    <t>4644</t>
  </si>
  <si>
    <t>Trgovina na veliko porculanom, staklom i sredstvima za čišćenje</t>
  </si>
  <si>
    <t>4645</t>
  </si>
  <si>
    <t>Trgovina na veliko parfemima i kozmetikom</t>
  </si>
  <si>
    <t>4646</t>
  </si>
  <si>
    <t>Trgovina na veliko farmaceutskim proizvodima</t>
  </si>
  <si>
    <t xml:space="preserve">     3. Obveze prema bankama i drugim financijskim institucijama</t>
  </si>
  <si>
    <t>E) ODGOĐENO PLAĆANJE TROŠKOVA I PRIHOD BUDUĆEGA RAZDOBLJA</t>
  </si>
  <si>
    <t>    2. Koncesije, patenti, licencije, robne i uslužne marke, softver i ostala prava - bruto</t>
  </si>
  <si>
    <t>    1. Izdaci za razvoj - bruto</t>
  </si>
  <si>
    <t xml:space="preserve"> 16a. Softver – bruto</t>
  </si>
  <si>
    <t xml:space="preserve"> 16b. Softver – neto</t>
  </si>
  <si>
    <t xml:space="preserve"> 17a. Nestambene zgrade - bruto</t>
  </si>
  <si>
    <t xml:space="preserve"> 17b. Nestambene zgrade - neto</t>
  </si>
  <si>
    <t xml:space="preserve"> 18a. Stambene zgrade i stanovi – bruto</t>
  </si>
  <si>
    <t xml:space="preserve"> 18b. Stambene zgrade i stanovi – neto</t>
  </si>
  <si>
    <t>Novosti</t>
  </si>
  <si>
    <t>Kontrole</t>
  </si>
  <si>
    <t>Sifre</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</si>
  <si>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</si>
  <si>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</si>
  <si>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</si>
  <si>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</si>
  <si>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V. Ukupno novčani primici od financijskih aktivnosti (027 do 029)</t>
  </si>
  <si>
    <t>VI. Ukupno novčani izdaci od financijskih aktivnosti (031 do 035)</t>
  </si>
  <si>
    <t>Lijevanje ostalih obojenih metala</t>
  </si>
  <si>
    <t>2511</t>
  </si>
  <si>
    <t>Proizvodnja metalnih konstrukcija i njihovih dijelova</t>
  </si>
  <si>
    <t>2512</t>
  </si>
  <si>
    <t>Proizvodnja vrata i prozora od metala</t>
  </si>
  <si>
    <t>2521</t>
  </si>
  <si>
    <t>Proizvodnja radijatora i kotlova za centralno grijanje</t>
  </si>
  <si>
    <t>2529</t>
  </si>
  <si>
    <t xml:space="preserve">Proizvodnja ostalih metalnih cisterni, rezervoara i sličnih posuda </t>
  </si>
  <si>
    <t>2530</t>
  </si>
  <si>
    <t xml:space="preserve">Proizvodnja čeličnih bačava i sličnih posuda </t>
  </si>
  <si>
    <t>2592</t>
  </si>
  <si>
    <t>Proizvodnja ambalaže od lakih metala</t>
  </si>
  <si>
    <t>2593</t>
  </si>
  <si>
    <t>Proizvodnja proizvoda od žice, lanaca i opruga</t>
  </si>
  <si>
    <t>2594</t>
  </si>
  <si>
    <t>Proizvodnja zakovica i vijčane robe</t>
  </si>
  <si>
    <t>2599</t>
  </si>
  <si>
    <t>Proizvodnja ostalih gotovih proizvoda od metala, d. n.</t>
  </si>
  <si>
    <t>2611</t>
  </si>
  <si>
    <t xml:space="preserve">Proizvodnja elektroničkih komponenata </t>
  </si>
  <si>
    <t>2612</t>
  </si>
  <si>
    <t>Proizvodnja punih elektroničkih ploča</t>
  </si>
  <si>
    <t>2620</t>
  </si>
  <si>
    <t>Proizvodnja računala i periferne opreme</t>
  </si>
  <si>
    <t>2630</t>
  </si>
  <si>
    <t>Uzgoj usjeva za pripremanje napitaka</t>
  </si>
  <si>
    <t>0128</t>
  </si>
  <si>
    <t xml:space="preserve">Uzgoj bilja za uporabu u farmaciji, aromatskog, začinskog i ljekovitog bilja </t>
  </si>
  <si>
    <t>0129</t>
  </si>
  <si>
    <t xml:space="preserve">Uzgoj ostalih višegodišnjih usjeva </t>
  </si>
  <si>
    <t>0130</t>
  </si>
  <si>
    <t>Uzgoj sadnog materijala i ukrasnog bilja</t>
  </si>
  <si>
    <t>0141</t>
  </si>
  <si>
    <t>Uzgoj muznih krava</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</si>
  <si>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</si>
  <si>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</si>
  <si>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</si>
  <si>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</si>
  <si>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</si>
  <si>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</si>
  <si>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</si>
  <si>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</si>
  <si>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</si>
  <si>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</si>
  <si>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</si>
  <si>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</si>
  <si>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</si>
  <si>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</si>
  <si>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</si>
  <si>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</si>
  <si>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</si>
  <si>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Na ovom radnom listu nalaze se sve šifre koje je potrebno upisati u obrazac s objašnjenjem značenja svake od njih. Kako bi Excel datoteka točno mogla procijeniti koju ste sve dokumentaciju i za koje potrebe dužni predati potrebno je odrediti i u koju vrstu poslovnog subjekta pripadate.</t>
  </si>
  <si>
    <t>Trgovina na malo duhanskim proizvodima u specijaliziranim prodavaonicama</t>
  </si>
  <si>
    <t>4729</t>
  </si>
  <si>
    <t>Ostala trgovina na malo prehrambenim proizvodima u specijaliziranim prodavaonicama</t>
  </si>
  <si>
    <t>4730</t>
  </si>
  <si>
    <t>Trgovina na malo motornim gorivima i mazivima u specijaliziranim prodavaonicama</t>
  </si>
  <si>
    <t>4741</t>
  </si>
  <si>
    <t>Trgovina na malo računalima, perifernim jedinicama i softverom u specijaliziranim prodavaonicama</t>
  </si>
  <si>
    <t>4742</t>
  </si>
  <si>
    <t>Trgovina na malo telekomunikacijskom opremom u specijaliziranim prodavaonicama</t>
  </si>
  <si>
    <t>4743</t>
  </si>
  <si>
    <t>Trgovina na veliko ostalim strojevima i opremom</t>
  </si>
  <si>
    <t>4671</t>
  </si>
  <si>
    <t>Djelatnosti izvanteritorijalnih organizacija i tijela</t>
  </si>
  <si>
    <t>Opis šifre djelatnosti</t>
  </si>
  <si>
    <t>Šifra</t>
  </si>
  <si>
    <t>Od 1. siječnja 2009. godine svi izvještaji predaju se prema novom šifrarniku djelatnosti (NKD 2007). U nastavku je dan popis šifri djelatnosti prema NKD-u 2007.</t>
  </si>
  <si>
    <t>Naziv općine /  grada</t>
  </si>
  <si>
    <t>Andrijaševci</t>
  </si>
  <si>
    <t>Klakar</t>
  </si>
  <si>
    <t>Proložac</t>
  </si>
  <si>
    <t>Antunovac</t>
  </si>
  <si>
    <t>Klana</t>
  </si>
  <si>
    <t>Promina</t>
  </si>
  <si>
    <t>Babina Greda</t>
  </si>
  <si>
    <t>Klanjec</t>
  </si>
  <si>
    <t>Trgovina na malo medicinskim pripravcima i ortopedskim pomagalima u specijaliziranim prodavaonicama</t>
  </si>
  <si>
    <t>4775</t>
  </si>
  <si>
    <t>Trgovina na malo kozmetičkim i toaletnim proizvodima u specijaliziranim prodavaonicama</t>
  </si>
  <si>
    <t>4776</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</si>
  <si>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</si>
  <si>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</si>
  <si>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</si>
  <si>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</si>
  <si>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</si>
  <si>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</si>
  <si>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</si>
  <si>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</si>
  <si>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</si>
  <si>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</si>
  <si>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</si>
  <si>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</si>
  <si>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</si>
  <si>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</si>
  <si>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</si>
  <si>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</si>
  <si>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</si>
  <si>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</si>
  <si>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Trgovina na malo sagovima i prostiračima za pod, zidnim i podnim oblogama u specijaliziranim prodavaonicama</t>
  </si>
  <si>
    <t>4754</t>
  </si>
  <si>
    <t>Proizvodnja keramičkih proizvoda za kućanstvo i ukrasnih predmeta</t>
  </si>
  <si>
    <t>2342</t>
  </si>
  <si>
    <t>2740</t>
  </si>
  <si>
    <t xml:space="preserve">     5. Dani zajmovi, depoziti i slično</t>
  </si>
  <si>
    <t xml:space="preserve">     7. Ostala financijska imovina </t>
  </si>
  <si>
    <t>A)  KAPITAL I REZERVE (063+064+065+071+072-073+074-075+076)</t>
  </si>
  <si>
    <t xml:space="preserve"> 20b. Prijevozna sredstva - neto</t>
  </si>
  <si>
    <t xml:space="preserve"> 21a. Ulaganja u višegodišnje nasade - bruto</t>
  </si>
  <si>
    <t xml:space="preserve"> 21b. Ulaganja u višegodišnje nasade - neto</t>
  </si>
  <si>
    <t xml:space="preserve"> 22a. Osnovno stado - bruto</t>
  </si>
  <si>
    <t xml:space="preserve"> 22b. Osnovno stado - neto</t>
  </si>
  <si>
    <t xml:space="preserve"> 23a. Šume – bruto</t>
  </si>
  <si>
    <t xml:space="preserve"> 23b. Šume – neto</t>
  </si>
  <si>
    <t xml:space="preserve"> 24a. Knjige, umjetnička djela, spomenici kulture - bruto</t>
  </si>
  <si>
    <t xml:space="preserve"> 24b. Knjige, umjetnička djela, spomenici kulture - neto</t>
  </si>
  <si>
    <t xml:space="preserve"> 27.  Kratkoročni dužnički vrijednosni papiri trgovačkih društava - bruto</t>
  </si>
  <si>
    <t xml:space="preserve">   5. Nematerijalna imovina u pripremi</t>
  </si>
  <si>
    <t xml:space="preserve">   6. Ostala nematerijalna imovina</t>
  </si>
  <si>
    <t xml:space="preserve">    1. Zemljište</t>
  </si>
  <si>
    <t xml:space="preserve">    3. Postrojenja i oprema </t>
  </si>
  <si>
    <t>Djelatnosti poslovnih organizacija i organizacija poslodavaca</t>
  </si>
  <si>
    <t>9412</t>
  </si>
  <si>
    <t>Djelatnosti strukovnih članskih organizacija</t>
  </si>
  <si>
    <t>9420</t>
  </si>
  <si>
    <t>Djelatnosti sindikata</t>
  </si>
  <si>
    <t>9491</t>
  </si>
  <si>
    <t>Djelatnosti vjerskih organizacija</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</si>
  <si>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</si>
  <si>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</si>
  <si>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</si>
  <si>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</si>
  <si>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</si>
  <si>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</si>
  <si>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</si>
  <si>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</si>
  <si>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</si>
  <si>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</si>
  <si>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</si>
  <si>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</si>
  <si>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</si>
  <si>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</si>
  <si>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</si>
  <si>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</si>
  <si>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</si>
  <si>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</si>
  <si>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</si>
  <si>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</si>
  <si>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</si>
  <si>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</si>
  <si>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</si>
  <si>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</si>
  <si>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</si>
  <si>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</si>
  <si>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</si>
  <si>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</si>
  <si>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</si>
  <si>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</si>
  <si>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</si>
  <si>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</si>
  <si>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</si>
  <si>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</si>
  <si>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</si>
  <si>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Stavke koje umanjuju kapital upisuju se s negativnim predznakom 
Podaci pod AOP oznakama 001 do 009 upisuju se kao stanje na datum bilance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</si>
  <si>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</si>
  <si>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</si>
  <si>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</si>
  <si>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</si>
  <si>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</si>
  <si>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</si>
  <si>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</si>
  <si>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</si>
  <si>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</si>
  <si>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</si>
  <si>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</si>
  <si>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</si>
  <si>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</si>
  <si>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</si>
  <si>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</si>
  <si>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</si>
  <si>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</si>
  <si>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</si>
  <si>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</si>
  <si>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</si>
  <si>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</si>
  <si>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</si>
  <si>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</si>
  <si>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</si>
  <si>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</si>
  <si>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</si>
  <si>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</si>
  <si>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</si>
  <si>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</si>
  <si>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</si>
  <si>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</si>
  <si>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</si>
  <si>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</si>
  <si>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</si>
  <si>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</si>
  <si>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</si>
  <si>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</si>
  <si>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</si>
  <si>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</si>
  <si>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</si>
  <si>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</si>
  <si>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</si>
  <si>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</si>
  <si>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</si>
  <si>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</si>
  <si>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</si>
  <si>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 xml:space="preserve"> 98.  Broj odrađenih sati plaćenih zaposlenika</t>
  </si>
  <si>
    <t xml:space="preserve"> 99.  Broj mogućih sati rada po plaćenom zaposleniku</t>
  </si>
  <si>
    <t>100.  Broj lokalnih jedinica (LJ)</t>
  </si>
  <si>
    <t>Vrste poslovnog subjekta:</t>
  </si>
  <si>
    <t>Gradnja vodnih građevina</t>
  </si>
  <si>
    <t>4299</t>
  </si>
  <si>
    <t>Gradnja ostalih građevina niskogradnje, d. n.</t>
  </si>
  <si>
    <t>4311</t>
  </si>
  <si>
    <t>Uklanjanje građevina</t>
  </si>
  <si>
    <t>4312</t>
  </si>
  <si>
    <t>Pripremni radovi na gradilištu</t>
  </si>
  <si>
    <t>4313</t>
  </si>
  <si>
    <t>Pokusno bušenje i sondiranje terena za gradnju</t>
  </si>
  <si>
    <t>4321</t>
  </si>
  <si>
    <t>Elektroinstalacijski radovi</t>
  </si>
  <si>
    <t>4322</t>
  </si>
  <si>
    <t>Iznajmljivanje i davanje u zakup (leasing) zračnih prijevoznih sredstava</t>
  </si>
  <si>
    <t>7739</t>
  </si>
  <si>
    <t>Iznajmljivanje i davanje u zakup (leasing) ostalih strojeva, opreme i materijalnih dobara, d. n.</t>
  </si>
  <si>
    <t>7740</t>
  </si>
  <si>
    <t>Davanje u zakup (leasing) prava na uporabu intelektualnog vlasništva i sličnih proizvoda, osim radova koji su zaštićeni autorskim pravima</t>
  </si>
  <si>
    <t>7810</t>
  </si>
  <si>
    <t>Djelatnosti agencija za zapošljavanje</t>
  </si>
  <si>
    <t>7820</t>
  </si>
  <si>
    <t>Djelatnosti agencija za privremeno zapošljavanje</t>
  </si>
  <si>
    <t>7830</t>
  </si>
  <si>
    <t>Ostalo ustupanje ljudskih resursa</t>
  </si>
  <si>
    <t>7911</t>
  </si>
  <si>
    <t>Djelatnosti putničkih agencija</t>
  </si>
  <si>
    <t>7912</t>
  </si>
  <si>
    <t>Djelatnosti organizatora putovanja (turoperatora)</t>
  </si>
  <si>
    <t>7990</t>
  </si>
  <si>
    <r>
      <t xml:space="preserve">Evidencijski broj
</t>
    </r>
    <r>
      <rPr>
        <sz val="7"/>
        <rFont val="Arial"/>
        <family val="2"/>
        <charset val="238"/>
      </rPr>
      <t>(popunjava Registar)</t>
    </r>
  </si>
  <si>
    <t>Dodatni podaci</t>
  </si>
  <si>
    <t>DODATNI PODACI</t>
  </si>
  <si>
    <t>6530</t>
  </si>
  <si>
    <t>Mirovinski fondovi</t>
  </si>
  <si>
    <t>6611</t>
  </si>
  <si>
    <t>Poslovanje financijskih tržišta</t>
  </si>
  <si>
    <t>Novac i novčani ekvivalenti na kraju razdoblja</t>
  </si>
  <si>
    <t>IZVJEŠTAJ O NOVČANOM TIJEKU - Indirektna metoda</t>
  </si>
  <si>
    <t xml:space="preserve">     1. Novčani primici od prodaje dugotrajne materijalne i nematerijalne imovine</t>
  </si>
  <si>
    <t xml:space="preserve">     2. Novčani primici od prodaje vlasničkih i dužničkih instrumenata</t>
  </si>
  <si>
    <t xml:space="preserve">     5. Ostali novčani primici od investicijskih aktivnosti</t>
  </si>
  <si>
    <t>III. Ukupno novčani primici od investicijskih aktivnosti (015 do 019)</t>
  </si>
  <si>
    <t>Tar-Vabriga</t>
  </si>
  <si>
    <t>Dubrovnik</t>
  </si>
  <si>
    <t>Negoslavci</t>
  </si>
  <si>
    <t>Tinjan</t>
  </si>
  <si>
    <t>Duga Resa</t>
  </si>
  <si>
    <t>Nerežišća</t>
  </si>
  <si>
    <t>Tisno</t>
  </si>
  <si>
    <t>Dugi Rat</t>
  </si>
  <si>
    <t>4618</t>
  </si>
  <si>
    <t>Posredovanje u trgovini specijaliziranoj za određene proizvode</t>
  </si>
  <si>
    <t>4619</t>
  </si>
  <si>
    <t>Posredovanje u trgovini raznovrsnim proizvodima</t>
  </si>
  <si>
    <t>4621</t>
  </si>
  <si>
    <t>Trgovina na veliko žitaricama, sirovim duhanom, sjemenjem i stočnom hranom</t>
  </si>
  <si>
    <t>4622</t>
  </si>
  <si>
    <t>Kolona M - neispravno ako predaja nije za javnu objavu
Kolona N - neispravno ako je mali a ima
Kolona O - neispravno ako je javna objava, veliki je, različit od 32 a nema
Kolona P - neispravno ako je 32 a ima</t>
  </si>
  <si>
    <t xml:space="preserve">     1. Rezerviranja za mirovine, otpremnine i slične obveze</t>
  </si>
  <si>
    <t xml:space="preserve">     2. Rezerviranja za porezne obveze</t>
  </si>
  <si>
    <t xml:space="preserve">     3. Druga rezerviranja</t>
  </si>
  <si>
    <t xml:space="preserve">     1. Obveze prema povezanim poduzetnicima</t>
  </si>
  <si>
    <t xml:space="preserve">     2. Obveze za zajmove, depozite i slično</t>
  </si>
  <si>
    <t xml:space="preserve">     4. Obveze za predujmove</t>
  </si>
  <si>
    <t xml:space="preserve">     5. Obveze prema dobavljačima</t>
  </si>
  <si>
    <t xml:space="preserve">     6. Obveze po vrijednosnim papirima</t>
  </si>
  <si>
    <t xml:space="preserve">     7. Ostale dugoročne obveze</t>
  </si>
  <si>
    <t xml:space="preserve">     8. Odgođena porezna obveza</t>
  </si>
  <si>
    <t xml:space="preserve">     7. Obveze prema zaposlenicima</t>
  </si>
  <si>
    <t xml:space="preserve">     8. Obveze za poreze, doprinose i slična davanja</t>
  </si>
  <si>
    <t xml:space="preserve">     9. Obveze s osnove udjela u rezultatu</t>
  </si>
  <si>
    <t xml:space="preserve">   11. Ostale kratkoročne obveze</t>
  </si>
  <si>
    <t>F) UKUPNO – PASIVA (062+077+081+090+102)</t>
  </si>
  <si>
    <t>RDG</t>
  </si>
  <si>
    <t>PK</t>
  </si>
  <si>
    <t>Djel</t>
  </si>
  <si>
    <t>Uputa</t>
  </si>
  <si>
    <t xml:space="preserve">    2. Građevinski objekti</t>
  </si>
  <si>
    <t xml:space="preserve">   10. Obveze po osnovi dugotrajne imovine namijenjene prodaji</t>
  </si>
  <si>
    <t xml:space="preserve">Uvođenje instalacija vodovoda, kanalizacije i plina i instalacija za grijanje i klimatizaciju </t>
  </si>
  <si>
    <t>4329</t>
  </si>
  <si>
    <t>Ostali građevinski instalacijski radovi</t>
  </si>
  <si>
    <t>4331</t>
  </si>
  <si>
    <t>Fasadni i štukaturski radovi</t>
  </si>
  <si>
    <t>4332</t>
  </si>
  <si>
    <t>Ugradnja stolarije</t>
  </si>
  <si>
    <t>4333</t>
  </si>
  <si>
    <t>Postavljanje podnih i zidnih obloga</t>
  </si>
  <si>
    <t>4334</t>
  </si>
  <si>
    <t>Soboslikarski i staklarski radovi</t>
  </si>
  <si>
    <t>4339</t>
  </si>
  <si>
    <t>Ostali završni građevinski radovi</t>
  </si>
  <si>
    <t>4391</t>
  </si>
  <si>
    <t>Radovi na krovištu</t>
  </si>
  <si>
    <t>4399</t>
  </si>
  <si>
    <t>Ostale specijalizirane građevinske djelatnosti, d. n.</t>
  </si>
  <si>
    <t>4511</t>
  </si>
  <si>
    <t>Ako su Dodatni podaci popunjeni (predaja za statističke svrhe), mora biti zadovoljen uvjet da bruto iznos nekih stavaka u Dodatnim podacima mora biti veći ili jednak neto iznosu u Bilanci, tj. AOP 153 &gt;= AOP 004.</t>
  </si>
  <si>
    <t>Ako su Dodatni podaci popunjeni (predaja za statističke svrhe), mora biti zadovoljen uvjet da bruto iznos nekih stavaka u Dodatnim podacima mora biti veći ili jednak neto iznosu u Bilanci, tj. AOP 154 &gt;= AOP 005.</t>
  </si>
  <si>
    <t>Ako su Dodatni podaci popunjeni (predaja za statističke svrhe), mora biti zadovoljen uvjet da bruto iznos nekih stavaka u Dodatnim podacima mora biti veći ili jednak neto iznosu u Bilanci, tj. AOP 155 &gt;= AOP 006.</t>
  </si>
  <si>
    <t>Ako su Dodatni podaci popunjeni (predaja za statističke svrhe), mora biti zadovoljen uvjet da bruto iznos nekih stavaka u Dodatnim podacima mora biti veći ili jednak neto iznosu u Bilanci,  tj. AOP 156 &gt;= AOP 007.</t>
  </si>
  <si>
    <t>Proizvodnja uredskih strojeva i opreme (osim proizvodnje računala i periferne opreme)</t>
  </si>
  <si>
    <t>2824</t>
  </si>
  <si>
    <t>Proizvodnja mehaniziranoga ručnog alata</t>
  </si>
  <si>
    <t>2825</t>
  </si>
  <si>
    <t>Proizvodnja rashladne i ventilacijske opreme, osim za kućanstvo</t>
  </si>
  <si>
    <t>2829</t>
  </si>
  <si>
    <t>Proizvodnja ostalih strojeva za opće namjene, d. n.</t>
  </si>
  <si>
    <t>2830</t>
  </si>
  <si>
    <t>Proizvodnja strojeva za poljoprivredu i šumarstvo</t>
  </si>
  <si>
    <t>2841</t>
  </si>
  <si>
    <t>Proizvodnja strojeva za obradu metala</t>
  </si>
  <si>
    <t>2849</t>
  </si>
  <si>
    <t>Proizvodnja strojeva za industriju hrane, pića i duhana</t>
  </si>
  <si>
    <t>2894</t>
  </si>
  <si>
    <t>Proizvodnja strojeva za industriju tekstila, odjeće i kože</t>
  </si>
  <si>
    <t>2895</t>
  </si>
  <si>
    <t>Proizvodnja strojeva za industriju papira i kartona</t>
  </si>
  <si>
    <t>2896</t>
  </si>
  <si>
    <t>Proizvodnja strojeva za plastiku i gumu</t>
  </si>
  <si>
    <t>2899</t>
  </si>
  <si>
    <t>Proizvodnja ostalih strojeva za posebne namjene, d. n.</t>
  </si>
  <si>
    <t>2910</t>
  </si>
  <si>
    <t>Proizvodnja motornih vozila</t>
  </si>
  <si>
    <t>2920</t>
  </si>
  <si>
    <t>Proizvodnja karoserija za motorna vozila, prikolica i poluprikolica</t>
  </si>
  <si>
    <t>2931</t>
  </si>
  <si>
    <t xml:space="preserve">Proizvodnja električne i elektroničke opreme za motorna vozila </t>
  </si>
  <si>
    <t>2932</t>
  </si>
  <si>
    <t xml:space="preserve">Proizvodnja ostalih dijelova i pribora za motorna vozila </t>
  </si>
  <si>
    <t>3011</t>
  </si>
  <si>
    <t>Gradnja brodova i plutajućih objekata</t>
  </si>
  <si>
    <t>3012</t>
  </si>
  <si>
    <t>Gradnja čamaca za razonodu i sportskih čamaca</t>
  </si>
  <si>
    <t>3020</t>
  </si>
  <si>
    <t>Proizvodnja željezničkih lokomotiva i tračničkih vozila</t>
  </si>
  <si>
    <t>3030</t>
  </si>
  <si>
    <t>Proizvodnja zrakoplova i svemirskih letjelica te srodnih prijevoznih sredstava i opreme</t>
  </si>
  <si>
    <t>3040</t>
  </si>
  <si>
    <t>Proizvodnja vojnih borbenih vozila</t>
  </si>
  <si>
    <t>3091</t>
  </si>
  <si>
    <t>Proizvodnja motocikala</t>
  </si>
  <si>
    <t>3092</t>
  </si>
  <si>
    <t>III. Ukupno novčani primici od investicijskih aktivnosti (016 do 020)</t>
  </si>
  <si>
    <r>
      <t xml:space="preserve">Izvješće revizora </t>
    </r>
    <r>
      <rPr>
        <sz val="8"/>
        <color indexed="56"/>
        <rFont val="Arial"/>
        <family val="2"/>
        <charset val="238"/>
      </rPr>
      <t>dostavlja se samo ako se izvještaj predaje u svrhu javnu objavu. Revizorsko izvješće obavezno moraju dostaviti sva dionička društva, te društva koja predaju konsolidirani financijski izvještaj. Isto tako Izvješće revizora moraju dostaviti i investicijski fondovi i druga društva po posebnim propisima. Komanditna društva i društva s ograničenom odgovornošću moraju imati izvješće revizora ako su u prethodnoj godini ostvarili ukupni prihod veći od 30.000.000 kn. Izvješće revizora se ne predaje ako je svrha predaje samo u statističke potrebe.</t>
    </r>
  </si>
  <si>
    <t>Obrada podataka, usluge poslužitelja i djelatnosti povezane s njima</t>
  </si>
  <si>
    <t>6312</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</si>
  <si>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</si>
  <si>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</si>
  <si>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</si>
  <si>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</si>
  <si>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</si>
  <si>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</si>
  <si>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</si>
  <si>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</si>
  <si>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</si>
  <si>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</si>
  <si>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</si>
  <si>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</si>
  <si>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</si>
  <si>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</si>
  <si>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</si>
  <si>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</si>
  <si>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Proizvodnja keramičkih pločica i ploča</t>
  </si>
  <si>
    <t>2332</t>
  </si>
  <si>
    <t>Proizvodnja opeke, crijepa i ostalih proizvoda od pečene gline za građevinarstvo</t>
  </si>
  <si>
    <t>2341</t>
  </si>
  <si>
    <t>Lijevanje čelika</t>
  </si>
  <si>
    <t>2453</t>
  </si>
  <si>
    <t>Lijevanje lakih metala</t>
  </si>
  <si>
    <t>2454</t>
  </si>
  <si>
    <t>Ako u Bilanci postoji gubitak iznad visine kapitala (AOP 059 &gt; 0) tada iznos upisanog kapitala mora biti nula (AOP 062 = 0). Ako ovaj uvjet nije zadovoljen obrazac je neispravan. Kontrola vrijedi i za tekuću i prethodnu godinu.</t>
  </si>
  <si>
    <t xml:space="preserve">27. </t>
  </si>
  <si>
    <t>U Bilanci, pozicije ukupno aktiva (AOP 060) i ukupno pasiva (AOP 103) i moraju biti jednake u obje kolone podataka, a u koloni tekuće godine biti veće od nule. Isto tako, izvanbilančni zapisi u aktivi (AOP 061) moraju biti jednaki izvanbilančnim zapisiva u pasivi (AOP 104) u obje kolone podataka - tekuća godina i prethodna godina. Zbog zaokruživanja iznosa, kontrola dozvoljava razliku od 1.</t>
  </si>
  <si>
    <t>3521</t>
  </si>
  <si>
    <t>Proizvodnja plina</t>
  </si>
  <si>
    <t>3522</t>
  </si>
  <si>
    <t>Distribucija plinovitih goriva distribucijskom mrežom</t>
  </si>
  <si>
    <t>3523</t>
  </si>
  <si>
    <t>Trgovina plinom distribucijskom mrežom</t>
  </si>
  <si>
    <t>3530</t>
  </si>
  <si>
    <t>Opskrba parom i klimatizacija</t>
  </si>
  <si>
    <t>3600</t>
  </si>
  <si>
    <t>Skupljanje, pročišćavanje i opskrba vodom</t>
  </si>
  <si>
    <t>3700</t>
  </si>
  <si>
    <t>Uklanjanje otpadnih voda</t>
  </si>
  <si>
    <t>3811</t>
  </si>
  <si>
    <t>Skupljanje neopasnog otpada</t>
  </si>
  <si>
    <t>3812</t>
  </si>
  <si>
    <t>Skupljanje opasnog otpada</t>
  </si>
  <si>
    <t>3821</t>
  </si>
  <si>
    <t>Obrada i zbrinjavanje neopasnog otpada</t>
  </si>
  <si>
    <t>3822</t>
  </si>
  <si>
    <t>Obrada i zbrinjavanje opasnog otpada</t>
  </si>
  <si>
    <t>3831</t>
  </si>
  <si>
    <t>Rastavljanje olupina</t>
  </si>
  <si>
    <t>3832</t>
  </si>
  <si>
    <t>Oporaba posebno izdvojenih materijala</t>
  </si>
  <si>
    <t>3900</t>
  </si>
  <si>
    <t>Djelatnosti sanacije okoliša te ostale djelatnosti gospodarenja otpadom</t>
  </si>
  <si>
    <t>4110</t>
  </si>
  <si>
    <t>Organizacija izvedbe projekata za zgrade</t>
  </si>
  <si>
    <t>4120</t>
  </si>
  <si>
    <t>DECIMALE</t>
  </si>
  <si>
    <t>Vrsta poslovnog subjekta:</t>
  </si>
  <si>
    <t>do</t>
  </si>
  <si>
    <t>GODIŠNJI FINANCIJSKI IZVJEŠTAJ
PODUZETNIKA</t>
  </si>
  <si>
    <t>0892</t>
  </si>
  <si>
    <t>Vađenje treseta</t>
  </si>
  <si>
    <t>0893</t>
  </si>
  <si>
    <t>Vađenje soli</t>
  </si>
  <si>
    <t>0899</t>
  </si>
  <si>
    <t>Vađenje ostalih ruda i kamena, d. n.</t>
  </si>
  <si>
    <t>0910</t>
  </si>
  <si>
    <t>Pomoćne djelatnosti za vađenje nafte i prirodnog plina</t>
  </si>
  <si>
    <t>0990</t>
  </si>
  <si>
    <t>Pomoćne djelatnosti za ostalo rudarstvo i vađenje</t>
  </si>
  <si>
    <t>1011</t>
  </si>
  <si>
    <t>Kod obveznika koji su organizirani kao dioničko društvo ili društvo s ograničenom odgovornošću AOP oznaka 063 mora biti veća od nule u godini u kojoj je obveznik poslovao. Ako obveznik nije poslovao prethodne godine kolona prethodne godine može biti prazna, tj. tada i AOP 063 može biti jednak nuli).</t>
  </si>
  <si>
    <t>Trgovina na malo tekstilom, odjećom i obućom na štandovima i tržnicama</t>
  </si>
  <si>
    <t xml:space="preserve">  1. Upisani kapital</t>
  </si>
  <si>
    <t xml:space="preserve">  2. Kapitalne rezerve</t>
  </si>
  <si>
    <t xml:space="preserve">  3. Rezerve iz dobiti</t>
  </si>
  <si>
    <t>9492</t>
  </si>
  <si>
    <t>Djelatnosti političkih organizacija</t>
  </si>
  <si>
    <t>9499</t>
  </si>
  <si>
    <t>Djelatnosti ostalih članskih organizacija, d. n.</t>
  </si>
  <si>
    <t>9511</t>
  </si>
  <si>
    <t>Popravak računala i periferne opreme</t>
  </si>
  <si>
    <t>9512</t>
  </si>
  <si>
    <t>Popravak komunikacijske opreme</t>
  </si>
  <si>
    <t>9521</t>
  </si>
  <si>
    <t>Popravak elektroničkih uređaja za široku potrošnju</t>
  </si>
  <si>
    <t>9522</t>
  </si>
  <si>
    <t>3. Vlastite dionice i udjeli (odbitna stavka)</t>
  </si>
  <si>
    <t>4. Statutarne rezerve</t>
  </si>
  <si>
    <t>5. Ostale rezerve</t>
  </si>
  <si>
    <t>IV. REVALORIZACIJSKE REZERVE</t>
  </si>
  <si>
    <t>V. ZADRŽANA DOBIT</t>
  </si>
  <si>
    <t>VI. PRENESENI GUBITAK</t>
  </si>
  <si>
    <t xml:space="preserve">35. </t>
  </si>
  <si>
    <t>Hercegovac</t>
  </si>
  <si>
    <t>Petlovac</t>
  </si>
  <si>
    <t>Vižinada</t>
  </si>
  <si>
    <t>Hlebine</t>
  </si>
  <si>
    <t>Petrijanec</t>
  </si>
  <si>
    <t>Vladislavci</t>
  </si>
  <si>
    <t>Hrašćina</t>
  </si>
  <si>
    <t>Petrijevci</t>
  </si>
  <si>
    <t>Voćin</t>
  </si>
  <si>
    <t>Hrvace</t>
  </si>
  <si>
    <t>Petrinja</t>
  </si>
  <si>
    <t>Vodice</t>
  </si>
  <si>
    <t>Oglašavanje preko medija</t>
  </si>
  <si>
    <t>7320</t>
  </si>
  <si>
    <t>Istraživanje tržišta i ispitivanje javnoga mnijenja</t>
  </si>
  <si>
    <t>7410</t>
  </si>
  <si>
    <t>Specijalizirane dizajnerske djelatnosti</t>
  </si>
  <si>
    <t>7420</t>
  </si>
  <si>
    <t>Fotografske djelatnosti</t>
  </si>
  <si>
    <t>7430</t>
  </si>
  <si>
    <t>Prevoditeljske djelatnosti i usluge tumača</t>
  </si>
  <si>
    <t>7490</t>
  </si>
  <si>
    <t>Ostale stručne, znanstvene i tehničke djelatnosti, d. n.</t>
  </si>
  <si>
    <t>7500</t>
  </si>
  <si>
    <t xml:space="preserve"> 51.  Prihod od industrijske djelatnosti</t>
  </si>
  <si>
    <t xml:space="preserve"> 53.  Prihod od posredništva (provizija)</t>
  </si>
  <si>
    <t xml:space="preserve"> 54.  Prihod od građevinske djelatnosti - radova na zgradama</t>
  </si>
  <si>
    <t xml:space="preserve"> 55.  Prihod od građevinske djelatnosti - radova na ostalim građevinama</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</si>
  <si>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</si>
  <si>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</si>
  <si>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</si>
  <si>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</si>
  <si>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</si>
  <si>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</si>
  <si>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</si>
  <si>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</si>
  <si>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</si>
  <si>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</si>
  <si>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</si>
  <si>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</si>
  <si>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</si>
  <si>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</si>
  <si>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</si>
  <si>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</si>
  <si>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</si>
  <si>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</si>
  <si>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</si>
  <si>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</si>
  <si>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</si>
  <si>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</si>
  <si>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</si>
  <si>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</si>
  <si>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</si>
  <si>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</si>
  <si>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</si>
  <si>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</si>
  <si>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</si>
  <si>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</si>
  <si>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</si>
  <si>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</si>
  <si>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</si>
  <si>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</si>
  <si>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</si>
  <si>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</si>
  <si>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</si>
  <si>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</si>
  <si>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</si>
  <si>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</si>
  <si>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</si>
  <si>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</si>
  <si>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</si>
  <si>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</si>
  <si>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</si>
  <si>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</si>
  <si>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</si>
  <si>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</si>
  <si>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GOD_OBR</t>
  </si>
  <si>
    <t>Razdoblje izvještavanja:</t>
  </si>
  <si>
    <t>Proizvodnja dvopeka, keksa i srodnih proizvoda; proizvodnja trajnih peciva, slastičarskih proizvoda i kolača</t>
  </si>
  <si>
    <t>1073</t>
  </si>
  <si>
    <t>Proizvodnja makarona, njoka, kuskusa i slične tjestenine</t>
  </si>
  <si>
    <t>1081</t>
  </si>
  <si>
    <t>Proizvodnja šećera</t>
  </si>
  <si>
    <t>1082</t>
  </si>
  <si>
    <t>Proizvodnja kakao, čokoladnih i bombonskih proizvoda</t>
  </si>
  <si>
    <t>1083</t>
  </si>
  <si>
    <t>Prerada čaja i kave</t>
  </si>
  <si>
    <t>1084</t>
  </si>
  <si>
    <t>Proizvodnja začina i drugih dodataka hrani</t>
  </si>
  <si>
    <t>1085</t>
  </si>
  <si>
    <t>Proizvodnja gotove hrane i jela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</si>
  <si>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</si>
  <si>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</si>
  <si>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</si>
  <si>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</si>
  <si>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</si>
  <si>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</si>
  <si>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</si>
  <si>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</si>
  <si>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</si>
  <si>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</si>
  <si>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</si>
  <si>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</si>
  <si>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</si>
  <si>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</si>
  <si>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</si>
  <si>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</si>
  <si>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</si>
  <si>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</si>
  <si>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</si>
  <si>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</si>
  <si>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</si>
  <si>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</si>
  <si>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</si>
  <si>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</si>
  <si>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</si>
  <si>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</si>
  <si>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</si>
  <si>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</si>
  <si>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</si>
  <si>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</si>
  <si>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</si>
  <si>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</si>
  <si>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</si>
  <si>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</si>
  <si>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</si>
  <si>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</si>
  <si>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</si>
  <si>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</si>
  <si>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</si>
  <si>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</si>
  <si>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</si>
  <si>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</si>
  <si>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</si>
  <si>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</si>
  <si>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</si>
  <si>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</si>
  <si>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 xml:space="preserve"> 88.  Vrijednosno usklađivanje zaliha gotovih proizvoda</t>
  </si>
  <si>
    <t xml:space="preserve"> 90.  Troškovi kamata (s povezanim i nepovezanim poduzetnicima i drugim osobama) </t>
  </si>
  <si>
    <t xml:space="preserve"> 93.  Investicije u novu dugotrajnu imovinu</t>
  </si>
  <si>
    <t xml:space="preserve"> 94.  Uvoz u razdoblju</t>
  </si>
  <si>
    <t xml:space="preserve"> 96.  Broj plaćenih zaposlenika</t>
  </si>
  <si>
    <t xml:space="preserve"> 97.  Broj plaćenih zaposlenika koji rade nepuno radno vrijeme</t>
  </si>
  <si>
    <t>Dubrovačko Primorje</t>
  </si>
  <si>
    <t>Nedelišće</t>
  </si>
  <si>
    <t>30.</t>
  </si>
  <si>
    <t xml:space="preserve">       a) dugotrajne imovine (osim financijske imovine)</t>
  </si>
  <si>
    <t xml:space="preserve">       b) kratkotrajne imovine (osim financijske imovine)</t>
  </si>
  <si>
    <t xml:space="preserve">   8. Rezerviranja</t>
  </si>
  <si>
    <t xml:space="preserve">   9. Ostali poslovni rashodi</t>
  </si>
  <si>
    <t xml:space="preserve">     1. Kamate, tečajne razlike, dividende i slični prihodi iz odnosa
         s povezanim poduzetnicima</t>
  </si>
  <si>
    <t xml:space="preserve">     3. Dio prihoda od pridruženih poduzetnika i sudjelujućih interesa</t>
  </si>
  <si>
    <t xml:space="preserve">     4. Nerealizirani dobici (prihodi)</t>
  </si>
  <si>
    <t xml:space="preserve">     5. Ostali financijski prihodi</t>
  </si>
  <si>
    <t>SIF_VLASTI</t>
  </si>
  <si>
    <t>OPIS_VLASTI</t>
  </si>
  <si>
    <t>Ostale rezervacijske usluge i djelatnosti povezane s njima</t>
  </si>
  <si>
    <t>8010</t>
  </si>
  <si>
    <t>Djelatnosti privatne zaštite</t>
  </si>
  <si>
    <t>8020</t>
  </si>
  <si>
    <t>Kriterij 3. Broj zaposlenih (prosječan broj)</t>
  </si>
  <si>
    <t>Opis kriterija</t>
  </si>
  <si>
    <t>više od 130.000.000 kn</t>
  </si>
  <si>
    <t>više od 260.000.000 kn</t>
  </si>
  <si>
    <t>Trgovina na malo cvijećem, sadnicama, sjemenjem, gnojivom, kućnim ljubimcima i hranom za kućne ljubimce u specijaliziranim prodavaonicama</t>
  </si>
  <si>
    <t>4777</t>
  </si>
  <si>
    <t>Trgovina na malo satovima i nakitom u specijaliziranim prodavaonicama</t>
  </si>
  <si>
    <t>4778</t>
  </si>
  <si>
    <t>Ostala trgovina na malo novom robom u specijaliziranim prodavaonicama</t>
  </si>
  <si>
    <t>4779</t>
  </si>
  <si>
    <t>Trgovina na malo rabljenom robom u specijaliziranim prodavaonicama</t>
  </si>
  <si>
    <t>4781</t>
  </si>
  <si>
    <t>Trgovina na malo hranom, pićima i duhanskim proizvodima na štandovima i tržnicama</t>
  </si>
  <si>
    <t>4782</t>
  </si>
  <si>
    <t>Kontrolni broj</t>
  </si>
  <si>
    <t>Naziv obveznika:</t>
  </si>
  <si>
    <t>Šifra svrhe predaje:</t>
  </si>
  <si>
    <t>Oznaka veličine:</t>
  </si>
  <si>
    <t>Porijeklo kapitala:</t>
  </si>
  <si>
    <t>(domaći kapital, %)</t>
  </si>
  <si>
    <t>(strani kapital, %)</t>
  </si>
  <si>
    <t>Matični brojevi pripojenih subjekata:</t>
  </si>
  <si>
    <t>Matični brojevi sudionika statusnih promjena spajanja:</t>
  </si>
  <si>
    <t>Knjigovodstveni servis:</t>
  </si>
  <si>
    <t>OIB</t>
  </si>
  <si>
    <t>E_MAIL</t>
  </si>
  <si>
    <t>WEB</t>
  </si>
  <si>
    <t>KONS</t>
  </si>
  <si>
    <t>Obveza revizije:</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</si>
  <si>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</si>
  <si>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</si>
  <si>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</si>
  <si>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</si>
  <si>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</si>
  <si>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</si>
  <si>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</si>
  <si>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</si>
  <si>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</si>
  <si>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</si>
  <si>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</si>
  <si>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</si>
  <si>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</si>
  <si>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</si>
  <si>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</si>
  <si>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</si>
  <si>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</si>
  <si>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</si>
  <si>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</si>
  <si>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</si>
  <si>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KONTAKT_OS</t>
  </si>
  <si>
    <t>TEL</t>
  </si>
  <si>
    <t>FAX</t>
  </si>
  <si>
    <t>IMALM</t>
  </si>
  <si>
    <t>Bilješke uz financijske izvještaje</t>
  </si>
  <si>
    <t>Izvještaj o novčanom tijeku</t>
  </si>
  <si>
    <t>Internetski portali</t>
  </si>
  <si>
    <t>6391</t>
  </si>
  <si>
    <t>Djelatnosti novinskih agencija</t>
  </si>
  <si>
    <t>6399</t>
  </si>
  <si>
    <t>Ostale informacijske uslužne djelatnosti, d. n.</t>
  </si>
  <si>
    <t>6411</t>
  </si>
  <si>
    <t>Središnje bankarstvo</t>
  </si>
  <si>
    <t>6419</t>
  </si>
  <si>
    <t>Ostalo novčarsko posredovanje</t>
  </si>
  <si>
    <t>6420</t>
  </si>
  <si>
    <t>Djelatnosti holding-društava</t>
  </si>
  <si>
    <t>6430</t>
  </si>
  <si>
    <t>Uzajamni fondovi (trustovi), ostali fondovi i slični financijski subjekti</t>
  </si>
  <si>
    <t>6491</t>
  </si>
  <si>
    <t>Financijski leasing</t>
  </si>
  <si>
    <t>6492</t>
  </si>
  <si>
    <t>Ostalo kreditno posredovanje</t>
  </si>
  <si>
    <t>6499</t>
  </si>
  <si>
    <t>Ostale financijske uslužne djelatnosti, osim osiguranja i mirovinskih fondova, d. n.</t>
  </si>
  <si>
    <t>6511</t>
  </si>
  <si>
    <t>1050</t>
  </si>
  <si>
    <t>VrstaSub</t>
  </si>
  <si>
    <t>Obveznici koj se ne smatraju trgovačkim društvom ili im je Registarsko tijelo neka druga institucija (predaju izvještaje samo za statistiku 
(ujedno i za Poreznu upravu)</t>
  </si>
  <si>
    <t>Zajednica ustanova</t>
  </si>
  <si>
    <t>Ostali nespomenuti obveznici poreza na dobit</t>
  </si>
  <si>
    <t>Piljenje i blanjanje drva</t>
  </si>
  <si>
    <t>1621</t>
  </si>
  <si>
    <t>Proizvodnja furnira i ostalih ploča od drva</t>
  </si>
  <si>
    <t>1622</t>
  </si>
  <si>
    <t>Proizvodnja električne opreme za rasvjetu</t>
  </si>
  <si>
    <t>2751</t>
  </si>
  <si>
    <t>Proizvodnja električnih aparata za kućanstvo</t>
  </si>
  <si>
    <t>2752</t>
  </si>
  <si>
    <t>Proizvodnja neelektričnih aparata za kućanstvo</t>
  </si>
  <si>
    <t>2790</t>
  </si>
  <si>
    <t>Proizvodnja ostale električne opreme</t>
  </si>
  <si>
    <t>2811</t>
  </si>
  <si>
    <t>Proizvodnja motora i turbina, osim motora za zrakoplove i motorna vozila</t>
  </si>
  <si>
    <t>2812</t>
  </si>
  <si>
    <t>Proizvodnja hidrauličnih pogonskih uređaja</t>
  </si>
  <si>
    <t>2813</t>
  </si>
  <si>
    <t>Proizvodnja ostalih crpki i kompresora</t>
  </si>
  <si>
    <t>2814</t>
  </si>
  <si>
    <t>Proizvodnja ostalih slavina i ventila</t>
  </si>
  <si>
    <t>2815</t>
  </si>
  <si>
    <t>Proizvodnja ležajeva, prijenosnika te prijenosnih i pogonskih elemenata</t>
  </si>
  <si>
    <t>2821</t>
  </si>
  <si>
    <t>Proizvodnja peći i plamenika</t>
  </si>
  <si>
    <t>2822</t>
  </si>
  <si>
    <t>Proizvodnja uređaja za dizanje i prenošenje</t>
  </si>
  <si>
    <t>2823</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</si>
  <si>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</si>
  <si>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</si>
  <si>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</si>
  <si>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</si>
  <si>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</si>
  <si>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</si>
  <si>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</si>
  <si>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</si>
  <si>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</si>
  <si>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</si>
  <si>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</si>
  <si>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</si>
  <si>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</si>
  <si>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</si>
  <si>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</si>
  <si>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</si>
  <si>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</si>
  <si>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</si>
  <si>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</si>
  <si>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</si>
  <si>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</si>
  <si>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</si>
  <si>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</si>
  <si>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</si>
  <si>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</si>
  <si>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</si>
  <si>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</si>
  <si>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</si>
  <si>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</si>
  <si>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</si>
  <si>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</si>
  <si>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Ako su Dodatni podaci popunjeni (predaja za statističke svrhe), mora biti zadovoljen uvjet da bruto iznos nekih stavaka u Dodatnim podacima mora biti veći ili jednak neto iznosu u Bilanci, tj. AOP 166 &gt;= AOP 018.</t>
  </si>
  <si>
    <t>OBRAZAC</t>
  </si>
  <si>
    <t>SIFRA</t>
  </si>
  <si>
    <t>BILJESKA</t>
  </si>
  <si>
    <t>IMARDG</t>
  </si>
  <si>
    <t>IMABIL</t>
  </si>
  <si>
    <t>IMADOD</t>
  </si>
  <si>
    <t>IMANTD</t>
  </si>
  <si>
    <t>IMANTI</t>
  </si>
  <si>
    <t>IMAPK</t>
  </si>
  <si>
    <t>III. FINANCIJSKI PRIHODI (130 do 134)</t>
  </si>
  <si>
    <t>IV. FINANCIJSKI RASHODI (136 do 139)</t>
  </si>
  <si>
    <t>VIII. UKUPNI RASHODI (111+135+141)</t>
  </si>
  <si>
    <t>XIII. GUBITAK RAZDOBLJA (145+146) ili (146-144)</t>
  </si>
  <si>
    <t>DODATAK RDG-u (popunjava poduzetnik koji sastavlja konsolidirani godišnji financijski izvještaj)</t>
  </si>
  <si>
    <t>DATUMOD</t>
  </si>
  <si>
    <t>DATUMDO</t>
  </si>
  <si>
    <r>
      <t xml:space="preserve">Broj zaposlenih:
</t>
    </r>
    <r>
      <rPr>
        <sz val="8"/>
        <rFont val="Arial"/>
        <family val="2"/>
        <charset val="238"/>
      </rPr>
      <t>(krajem razdoblja)</t>
    </r>
  </si>
  <si>
    <t>Broj zaposlenih
(na temelju sati rada)</t>
  </si>
  <si>
    <t>DatumDo</t>
  </si>
  <si>
    <t>DatumOd</t>
  </si>
  <si>
    <t>Vrsta_izv</t>
  </si>
  <si>
    <t>Matični</t>
  </si>
  <si>
    <t>naziv</t>
  </si>
  <si>
    <t>Pošta</t>
  </si>
  <si>
    <t>Adresa</t>
  </si>
  <si>
    <t>Općina</t>
  </si>
  <si>
    <t>Županija</t>
  </si>
  <si>
    <t>NKD</t>
  </si>
  <si>
    <t>Konsolid</t>
  </si>
  <si>
    <t>KONTROLIRAN</t>
  </si>
  <si>
    <t>Revizija</t>
  </si>
  <si>
    <t>Svrha</t>
  </si>
  <si>
    <t>Osobni identifikacijski broj (OIB):</t>
  </si>
  <si>
    <t>Izvještaj kojeg sastavlja obveznik u godini kada mijenja datum početka i kraja poslovne godine, a za razdoblje od kraja stare poslovne godine do datuma koji prethodi početku nove poslovne godine.</t>
  </si>
  <si>
    <t>Opis što kontrola provjerava</t>
  </si>
  <si>
    <t>Matematičko - logičke obvezne kontrole (kontrole koje u svim uvjetima moraju biti zadovoljene)</t>
  </si>
  <si>
    <t>AOP oznake 112 i 113 (Smanjenje / povećanje vrijednosti zaliha nedovršene proizvodnje i gotovih proizvoda ne mogu biti istovremeno popunjeni.</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</si>
  <si>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</si>
  <si>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r>
      <t xml:space="preserve">Godišnje izvješće </t>
    </r>
    <r>
      <rPr>
        <sz val="8"/>
        <color indexed="56"/>
        <rFont val="Arial"/>
        <family val="2"/>
        <charset val="238"/>
      </rPr>
      <t>dužni su dostaviti samo srednje veliki i veliki obveznici i to kada se izvještaj predaje za potrebe javne objave, a samo za vrste izvještaja 10, 11. Ako nisu zadovoljeni ovi uvjeti - Godišnje izvješće se ne predaje.</t>
    </r>
  </si>
  <si>
    <r>
      <t>Odluka o raspodjeli dobiti ili pokriću gubitka</t>
    </r>
    <r>
      <rPr>
        <sz val="8"/>
        <color indexed="56"/>
        <rFont val="Arial"/>
        <family val="2"/>
        <charset val="238"/>
      </rPr>
      <t xml:space="preserve"> predaje se za sve veličine poduzetnika, uz izvještaje s oznakom vrste izvještaja 10 i 11. Za vrste izvještaja 20 i 30 ova odluka može se predati, ali njie obvezna dok se uz ostale vrste izvještaja kao ni uz konsolidirane izvještaje ne predaje.</t>
    </r>
  </si>
  <si>
    <t>10. Ukupno kapital i rezerve (AOP 001 do 009)</t>
  </si>
  <si>
    <t>11. Tečajne razlike s naslova neto ulaganja u inozemno poslovanje</t>
  </si>
  <si>
    <t>12. Tekući i odgođeni porezi (dio)</t>
  </si>
  <si>
    <t>Gradnja cjevovoda za tekućine i plinove</t>
  </si>
  <si>
    <t>4222</t>
  </si>
  <si>
    <t>Gradnja vodova za električnu struju i telekomunikacije</t>
  </si>
  <si>
    <t>4291</t>
  </si>
  <si>
    <t>Ako su Dodatni podaci popunjeni (predaja za statističke svrhe), mora biti zadovoljen uvjet da bruto iznos nekih stavaka u Dodatnim podacima mora biti veći ili jednak neto iznosu u Bilanci, tj. AOP 163 &gt;= AOP 015.</t>
  </si>
  <si>
    <t>Ako su Dodatni podaci popunjeni (predaja za statističke svrhe), mora biti zadovoljen uvjet da bruto iznos nekih stavaka u Dodatnim podacima mora biti veći ili jednak neto iznosu u Bilanci, tj. AOP 164 &gt;= AOP 016.</t>
  </si>
  <si>
    <t>Ako su Dodatni podaci popunjeni (predaja za statističke svrhe), mora biti zadovoljen uvjet da bruto iznos nekih stavaka u Dodatnim podacima mora biti veći ili jednak neto iznosu u Bilanci, tj. AOP 165 &gt;= AOP 017.</t>
  </si>
  <si>
    <t>Prema Zakonu o računovodstvu, veličina poduzetnika računa se prema ostvarenim poslovnim rezultatima u prethodnoj godini, prema tome veličina se računa prema podacima upisanim u kolonu prethodne godine. Postoje tri kriterija za izračun veličine poduzetnika. Veliki je onaj poduzetnik koji zadovoljava barem dva od tri kriterija za velikog poduzetnika. Ako poduzetnik ne zadovoljava 2 od tri kriterija za veličinu veliki, ali zadovoljava barem dva od tri kriterija za veličinu srednje veliki, poduzetnik je srednje veliki. Svi ostali (koji ne zadovoljavaju ni dva kriterija za veličinu srednje veliki) smatraju se malim poduzetnicima. Kriteriji veličina dani su u nastavku:</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</si>
  <si>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</si>
  <si>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</si>
  <si>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</si>
  <si>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</si>
  <si>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</si>
  <si>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</si>
  <si>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</si>
  <si>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</si>
  <si>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</si>
  <si>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</si>
  <si>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</si>
  <si>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</si>
  <si>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</si>
  <si>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</si>
  <si>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</si>
  <si>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</si>
  <si>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</si>
  <si>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</si>
  <si>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</si>
  <si>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</si>
  <si>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</si>
  <si>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</si>
  <si>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</si>
  <si>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</si>
  <si>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</si>
  <si>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</si>
  <si>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</si>
  <si>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</si>
  <si>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</si>
  <si>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</si>
  <si>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</si>
  <si>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</si>
  <si>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</si>
  <si>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</si>
  <si>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</si>
  <si>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</si>
  <si>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</si>
  <si>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</si>
  <si>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</si>
  <si>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</si>
  <si>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</si>
  <si>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</si>
  <si>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</si>
  <si>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</si>
  <si>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</si>
  <si>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</si>
  <si>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</si>
  <si>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</si>
  <si>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</si>
  <si>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</si>
  <si>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</si>
  <si>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</si>
  <si>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</si>
  <si>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</si>
  <si>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</si>
  <si>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</si>
  <si>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</si>
  <si>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</si>
  <si>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</si>
  <si>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</si>
  <si>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</si>
  <si>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</si>
  <si>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</si>
  <si>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</si>
  <si>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</si>
  <si>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</si>
  <si>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</si>
  <si>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</si>
  <si>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</si>
  <si>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</si>
  <si>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</si>
  <si>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</si>
  <si>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</si>
  <si>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</si>
  <si>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</si>
  <si>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Sveta Nedjelja</t>
  </si>
  <si>
    <t>Dicmo</t>
  </si>
  <si>
    <t>Marčana</t>
  </si>
  <si>
    <t>Sveti Đurđ</t>
  </si>
  <si>
    <t>Dobrinj</t>
  </si>
  <si>
    <t>Marija Bistrica</t>
  </si>
  <si>
    <t>Sveti Filip i Jakov</t>
  </si>
  <si>
    <t>Domašinec</t>
  </si>
  <si>
    <t>Marija Gorica</t>
  </si>
  <si>
    <t>Proizvodnja parnih kotlova, osim kotlova za centralno grijanje toplom vodom</t>
  </si>
  <si>
    <t>2540</t>
  </si>
  <si>
    <t>Proizvodnja oružja i streljiva</t>
  </si>
  <si>
    <t>2550</t>
  </si>
  <si>
    <t>Kovanje, prešanje, štancanje i valjanje metala; metalurgija praha</t>
  </si>
  <si>
    <t>2561</t>
  </si>
  <si>
    <t>Obrada i prevlačenje metala</t>
  </si>
  <si>
    <t>2562</t>
  </si>
  <si>
    <t>Strojna obrada metala</t>
  </si>
  <si>
    <t>2571</t>
  </si>
  <si>
    <t>Proizvodnja sječiva</t>
  </si>
  <si>
    <t>2572</t>
  </si>
  <si>
    <t>Proizvodnja brava i okova</t>
  </si>
  <si>
    <t>2573</t>
  </si>
  <si>
    <t>Proizvodnja alata</t>
  </si>
  <si>
    <t>2591</t>
  </si>
  <si>
    <t>4647</t>
  </si>
  <si>
    <t>Trgovina na veliko namještajem, sagovima i opremom za rasvjetu</t>
  </si>
  <si>
    <t>4648</t>
  </si>
  <si>
    <t>Trgovina na veliko satovima i nakitom</t>
  </si>
  <si>
    <t>4649</t>
  </si>
  <si>
    <t>Trgovina na veliko ostalim proizvodima za kućanstvo</t>
  </si>
  <si>
    <t>4651</t>
  </si>
  <si>
    <t>Trgovina na veliko računalima, perifernom opremom i softverom</t>
  </si>
  <si>
    <t>4652</t>
  </si>
  <si>
    <t>Trgovina na veliko elektroničkim i telekomunikacijskim dijelovima i opremom</t>
  </si>
  <si>
    <t>4661</t>
  </si>
  <si>
    <t xml:space="preserve">   7. Vrijednosno usklađivanje (125+126)</t>
  </si>
  <si>
    <t>KOPRIVNICA</t>
  </si>
  <si>
    <t>Ante Starčevića 32</t>
  </si>
  <si>
    <t>www.podravka.hr</t>
  </si>
  <si>
    <t>048 651 805</t>
  </si>
  <si>
    <t>draga.celiscak@podravka.hr</t>
  </si>
  <si>
    <t>Šestak Zdravko</t>
  </si>
  <si>
    <t>Celiščak Draga</t>
  </si>
  <si>
    <t>@</t>
  </si>
  <si>
    <t>.</t>
  </si>
  <si>
    <t>Č</t>
  </si>
  <si>
    <t>Ć</t>
  </si>
  <si>
    <t>Š</t>
  </si>
  <si>
    <t>Ž</t>
  </si>
  <si>
    <t>Đ</t>
  </si>
  <si>
    <t>"</t>
  </si>
  <si>
    <t>,</t>
  </si>
  <si>
    <t>;</t>
  </si>
  <si>
    <t>:</t>
  </si>
  <si>
    <t>?</t>
  </si>
  <si>
    <r>
      <t xml:space="preserve">Kontrola popunjenosti podataka zaglavlja. Polja Vrsta izvještaja, Matični broj (DZS-a), Matični broj trgovačkog suda, Naziv obveznika, Poštanski broj i Mjesto, Ulica i kućni broj, Šifra općine/grada, Šifra NKD-a, Oznaka konsolidacije, Oznaka obveze revizije, Šifra svrhe predaje, Oznaka veličine, Oznaka vlasništva, Porijeklo kapitala, Brojevi zaposlenih, broj mjeseci poslovanja, Osoba za kontaktiranje, te Prezime i ime osobe ovlaštene za zastupanje i vodtielja računovodstva, te  datumi Razdoblja računa dobiti i gubitka moraju biti popunjeni. Ako neko od ovih polja nije popunjeno, kontrola javlja pogrešku. Obrtnici i slobodna zanimanja nisu dužni popuniti polje Matični broj trgovačkog suda jer se ne registriraju u trgvoačkom sudu. </t>
    </r>
    <r>
      <rPr>
        <b/>
        <sz val="8"/>
        <color indexed="56"/>
        <rFont val="Arial"/>
        <family val="2"/>
        <charset val="238"/>
      </rPr>
      <t>Ako je neki podatak nula, tu nulu je potrebno upisati, nepopunjenost polja ne smatra se nulom. Polja OIB i MBS se u slučaju da nema podatka ostavljaju praznima (ne upisuje se 11 nula ili 9 nula).</t>
    </r>
  </si>
  <si>
    <t>Ustanova</t>
  </si>
  <si>
    <t>!</t>
  </si>
  <si>
    <t>#</t>
  </si>
  <si>
    <t>$</t>
  </si>
  <si>
    <t>%</t>
  </si>
  <si>
    <t>&amp;</t>
  </si>
  <si>
    <t>/</t>
  </si>
  <si>
    <t>=</t>
  </si>
  <si>
    <t>(</t>
  </si>
  <si>
    <t>)</t>
  </si>
  <si>
    <t>AOP oznaka 076 - Manjinski interesi u Bilanci popunjava se samo u konsolidiranim izvještajima. Ako izvještaj nije konsolidiran, ova pozicija mora biti prazna (ili upisano nula). Ako je izvještaj konsolidiran, barem u koloni tekuće godine mora biti upisan manjinski interes (različit od nule).</t>
  </si>
  <si>
    <r>
      <t xml:space="preserve">Obveza predaje Bilance i Računa dobiti u gubitka. </t>
    </r>
    <r>
      <rPr>
        <sz val="8"/>
        <color indexed="56"/>
        <rFont val="Arial"/>
        <family val="2"/>
        <charset val="238"/>
      </rPr>
      <t>Popunjavaju se za sve svrhe predaje, za sve vrste poslovnih subjekata i za sve vrste izvještaja. Izuzetak je vrste izvještaja 32 (početna likvidacijska bilanca) u kojem slučaju se ne popunjava Račun dobiti i gubitka već samo bilanca. Ako ova kontrola nije ispravna znači da: Bilanca i Račun dobiti i gubitka nisu popunjeni ili je kod početne likvidacijske bilance popunjen i račun dobiti i gubitka (a ne treba biti).</t>
    </r>
  </si>
  <si>
    <t xml:space="preserve">Nespecijalizirana trgovina na veliko </t>
  </si>
  <si>
    <t>4711</t>
  </si>
  <si>
    <t xml:space="preserve">Trgovina na malo u nespecijaliziranim prodavaonicama pretežno hranom, pićima i duhanskim proizvodima </t>
  </si>
  <si>
    <t>4719</t>
  </si>
  <si>
    <t>Ostala trgovina na malo u nespecijaliziranim prodavaonicama</t>
  </si>
  <si>
    <t>4721</t>
  </si>
  <si>
    <t>Trgovina na malo voćem i povrćem u specijaliziranim prodavaonicama</t>
  </si>
  <si>
    <t>4722</t>
  </si>
  <si>
    <t>Trgovina na malo mesom i mesnim proizvodima u specijaliziranim prodavaonicama</t>
  </si>
  <si>
    <t>4723</t>
  </si>
  <si>
    <t>Trgovina na malo ribama, rakovima i školjkama u specijaliziranim prodavaonicama</t>
  </si>
  <si>
    <t>4724</t>
  </si>
  <si>
    <t>XIV.*  DOBIT PRIPISANA IMATELJIMA KAPITALA MATICE</t>
  </si>
  <si>
    <t>XVI.*  GUBITAK PRIPISAN IMATELJIMA KAPITALA MATICE</t>
  </si>
  <si>
    <t>BILANCA</t>
  </si>
  <si>
    <t>RAČUN DOBITI I GUBITKA</t>
  </si>
  <si>
    <t>BILANCA - AKTIVA</t>
  </si>
  <si>
    <t>Kontrolni zbroj (153 do 168)</t>
  </si>
  <si>
    <t>Kontrolni zbroj (170 do 187)</t>
  </si>
  <si>
    <t>Kontrolni zbroj (189 do 193)</t>
  </si>
  <si>
    <t>Kontrolni zbroj (195 do 200)</t>
  </si>
  <si>
    <t>Kontrolni zbroj (202 do 207)</t>
  </si>
  <si>
    <t>BILANCA-PASIVA</t>
  </si>
  <si>
    <t>Kontrolni zbroj (209 do 211)</t>
  </si>
  <si>
    <t>Kontrolni zbroj (213 do 218)</t>
  </si>
  <si>
    <t>Kontrolni zbroj (220 do 233)</t>
  </si>
  <si>
    <t>Kontrolni zbroj (235 do 252)</t>
  </si>
  <si>
    <t>Kontrolni zbroj (254 do 256)</t>
  </si>
  <si>
    <t>Kontrolni zbroj (258 do 261)</t>
  </si>
  <si>
    <t>Kontrolni zbroj (263 do 267)</t>
  </si>
  <si>
    <t>OSTALI PODACI</t>
  </si>
  <si>
    <t>Kontrolni zbroj (269 do 273)</t>
  </si>
  <si>
    <t>Kontrolni zbroj (275 + 276)</t>
  </si>
  <si>
    <t xml:space="preserve"> 25.  Dugoročni dužnički vrijednosni papiri trgovačkih društava - bruto</t>
  </si>
  <si>
    <t>Proizvodnja sastavljenog parketa</t>
  </si>
  <si>
    <t>1623</t>
  </si>
  <si>
    <t>Proizvodnja ostale građevne stolarije i elemenata</t>
  </si>
  <si>
    <t>1624</t>
  </si>
  <si>
    <t>Proizvodnja ambalaže od drva</t>
  </si>
  <si>
    <t>1629</t>
  </si>
  <si>
    <t>Proizvodnja ostalih proizvoda od drva, proizvoda od pluta, slame i pletarskih materijala</t>
  </si>
  <si>
    <t>1711</t>
  </si>
  <si>
    <t>Proizvodnja celuloze</t>
  </si>
  <si>
    <t>1712</t>
  </si>
  <si>
    <t>Proizvodnja filmova, videofilmova i televizijskog programa</t>
  </si>
  <si>
    <t>5912</t>
  </si>
  <si>
    <t>Djelatnosti koje slijede nakon proizvodnje filmova, videofilmova i televizijskog programa</t>
  </si>
  <si>
    <t>5913</t>
  </si>
  <si>
    <t>Distribucija filmova, videofilmova i televizijskog programa</t>
  </si>
  <si>
    <t>5914</t>
  </si>
  <si>
    <t>Djelatnosti prikazivanja filmova</t>
  </si>
  <si>
    <t>5920</t>
  </si>
  <si>
    <t>Djelatnosti snimanja zvučnih zapisa i izdavanja glazbenih zapisa</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</si>
  <si>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</si>
  <si>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</si>
  <si>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</si>
  <si>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</si>
  <si>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</si>
  <si>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</si>
  <si>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</si>
  <si>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</si>
  <si>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</si>
  <si>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</si>
  <si>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</si>
  <si>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Ostale telekomunikacijske djelatnosti</t>
  </si>
  <si>
    <t>6201</t>
  </si>
  <si>
    <t>Računalno programiranje</t>
  </si>
  <si>
    <t>6202</t>
  </si>
  <si>
    <t>Savjetovanje u vezi s računalima</t>
  </si>
  <si>
    <t>6203</t>
  </si>
  <si>
    <t>Upravljanje računalnom opremom i sustavom</t>
  </si>
  <si>
    <t>6209</t>
  </si>
  <si>
    <t>Ostale uslužne djelatnosti u vezi s informacijskom tehnologijom i računalima</t>
  </si>
  <si>
    <t>6311</t>
  </si>
  <si>
    <t>4789</t>
  </si>
  <si>
    <t>Trgovina na malo ostalom robom na štandovima i tržnicama</t>
  </si>
  <si>
    <t>4791</t>
  </si>
  <si>
    <t>Trgovina na malo preko pošte ili interneta</t>
  </si>
  <si>
    <t>4799</t>
  </si>
  <si>
    <t>Ostala trgovina na malo izvan prodavaonica, štandova i tržnica</t>
  </si>
  <si>
    <t>4910</t>
  </si>
  <si>
    <t>Željeznički prijevoz putnika, međugradski</t>
  </si>
  <si>
    <t>4920</t>
  </si>
  <si>
    <t>Željeznički prijevoz robe</t>
  </si>
  <si>
    <t>4931</t>
  </si>
  <si>
    <t>Gradski i prigradski kopneni prijevoz putnika</t>
  </si>
  <si>
    <t>4932</t>
  </si>
  <si>
    <t>Taksi služba</t>
  </si>
  <si>
    <t>4939</t>
  </si>
  <si>
    <t>Ostali kopneni prijevoz putnika, d. n.</t>
  </si>
  <si>
    <t>4941</t>
  </si>
  <si>
    <t>Cestovni prijevoz robe</t>
  </si>
  <si>
    <t>4942</t>
  </si>
  <si>
    <t>Usluge preseljenja</t>
  </si>
  <si>
    <t>4950</t>
  </si>
  <si>
    <t>Cjevovodni transport</t>
  </si>
  <si>
    <t>5010</t>
  </si>
  <si>
    <t>Pomorski i obalni prijevoz putnika</t>
  </si>
  <si>
    <t>5020</t>
  </si>
  <si>
    <t>Pomorski i obalni prijevoz robe</t>
  </si>
  <si>
    <t>5030</t>
  </si>
  <si>
    <t>Prijevoz putnika unutrašnjim vodenim putovima</t>
  </si>
  <si>
    <t>5040</t>
  </si>
  <si>
    <t xml:space="preserve">34. </t>
  </si>
  <si>
    <t xml:space="preserve">36. </t>
  </si>
  <si>
    <t xml:space="preserve">37. </t>
  </si>
  <si>
    <t>PodDop</t>
  </si>
  <si>
    <t>NE</t>
  </si>
  <si>
    <t>Ako su Dodatni podaci popunjeni (predaja za statističke svrhe), mora biti zadovoljen uvjet da bruto iznos nekih stavaka u Dodatnim podacima mora biti veći ili jednak neto iznosu u Bilanci, tj. AOP 157 &gt;= AOP 008.</t>
  </si>
  <si>
    <t xml:space="preserve">   2. Koncesije, patenti, licencije, robne i uslužne marke, softver i ostala prava</t>
  </si>
  <si>
    <t>KNTBR</t>
  </si>
  <si>
    <t>IZNOS01</t>
  </si>
  <si>
    <t>IZNOS02</t>
  </si>
  <si>
    <t>IZNOS03</t>
  </si>
  <si>
    <t>IZNOS04</t>
  </si>
  <si>
    <t>IZNOS05</t>
  </si>
  <si>
    <t>IZNOS06</t>
  </si>
  <si>
    <t>IZNOS07</t>
  </si>
  <si>
    <t>Proizvodnja strojeva za metalurgiju</t>
  </si>
  <si>
    <t>2892</t>
  </si>
  <si>
    <t>Proizvodnja strojeva za rudnike, kamenolome i građevinarstvo</t>
  </si>
  <si>
    <t>2893</t>
  </si>
  <si>
    <t>KTR_LISTAMB</t>
  </si>
  <si>
    <t xml:space="preserve">2.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</si>
  <si>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</si>
  <si>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</si>
  <si>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</si>
  <si>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</si>
  <si>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</si>
  <si>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</si>
  <si>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</si>
  <si>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</si>
  <si>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</si>
  <si>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</si>
  <si>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</si>
  <si>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</si>
  <si>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</si>
  <si>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</si>
  <si>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</si>
  <si>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</si>
  <si>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</si>
  <si>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</si>
  <si>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</si>
  <si>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</si>
  <si>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</si>
  <si>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</si>
  <si>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</si>
  <si>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28. </t>
  </si>
  <si>
    <t xml:space="preserve">3. </t>
  </si>
  <si>
    <t xml:space="preserve">1. </t>
  </si>
  <si>
    <t>Ukupno smanjenje novčanog tijeka (015 – 014 + 027 – 026 + 039 – 038)</t>
  </si>
  <si>
    <t>Proizvodnja parfema i toaletno-kozmetičkih preparata</t>
  </si>
  <si>
    <t>2051</t>
  </si>
  <si>
    <t>Proizvodnja eksploziva</t>
  </si>
  <si>
    <t>2052</t>
  </si>
  <si>
    <t xml:space="preserve">Proizvodnja ljepila </t>
  </si>
  <si>
    <t>2053</t>
  </si>
  <si>
    <t>Proizvodnja eteričnih ulja</t>
  </si>
  <si>
    <t>2059</t>
  </si>
  <si>
    <t xml:space="preserve">Proizvodnja ostalih kemijskih proizvoda, d. n. </t>
  </si>
  <si>
    <t>2060</t>
  </si>
  <si>
    <t>Proizvodnja umjetnih vlakana</t>
  </si>
  <si>
    <t>2110</t>
  </si>
  <si>
    <t>Proizvodnja osnovnih farmaceutskih proizvoda</t>
  </si>
  <si>
    <t>2120</t>
  </si>
  <si>
    <t>Proizvodnja farmaceutskih pripravaka</t>
  </si>
  <si>
    <t>2211</t>
  </si>
  <si>
    <t>Proizvodnja vanjskih i unutrašnjih guma za vozila; protektiranje vanjskih guma</t>
  </si>
  <si>
    <t>2219</t>
  </si>
  <si>
    <t>Proizvodnja ostalih proizvoda od gume</t>
  </si>
  <si>
    <t>2221</t>
  </si>
  <si>
    <t>Proizvodnja ploča, listova, cijevi i profila od plastike</t>
  </si>
  <si>
    <t>2222</t>
  </si>
  <si>
    <t>Proizvodnja ambalaže od plastike</t>
  </si>
  <si>
    <t>2223</t>
  </si>
  <si>
    <t xml:space="preserve"> 92.  Troškovi od najma zemljišta i plaćeni tantijemi za iskorištavanje nafte,
         plina i drugih prirodnih dobara</t>
  </si>
  <si>
    <t xml:space="preserve"> 95.  Broj zaposlenih osoba (neplaćene osobe + plaćeni zaposlenici)
         na bazi prosjeka zbroja stanja krajem sva četiri tromjesečja</t>
  </si>
  <si>
    <t>I. POSLOVNI PRIHODI (108 do 110)</t>
  </si>
  <si>
    <t xml:space="preserve">   6. Ostali troškovi</t>
  </si>
  <si>
    <t xml:space="preserve">   5. Amortizacija</t>
  </si>
  <si>
    <t xml:space="preserve">    1. Smanjenje vrijednosti zaliha nedovršene proizvodnje
         i gotovih proizvoda</t>
  </si>
  <si>
    <t xml:space="preserve">    2. Povećanje vrijednosti zaliha nedovršene proizvodnje
         i gotovih proizvoda</t>
  </si>
  <si>
    <t xml:space="preserve">     2. Kamate, tečajne razlike, dividende, slični prihodi iz odnosa s
          nepovezanim poduzetnicima i drugim osobama</t>
  </si>
  <si>
    <r>
      <t>DODATAK BILANCI</t>
    </r>
    <r>
      <rPr>
        <b/>
        <sz val="8"/>
        <color indexed="18"/>
        <rFont val="Arial"/>
        <family val="2"/>
        <charset val="238"/>
      </rPr>
      <t xml:space="preserve"> (popunjava poduzetnik koji sastavlja konsolidirani godišnji financijski izvještaj)</t>
    </r>
  </si>
  <si>
    <t>NOVČANI TIJEK OD POSLOVNIH AKTIVNOSTI</t>
  </si>
  <si>
    <t>I. Ukupno povećanje novčanog tijeka od poslovnih aktivnosti (001 do 006)</t>
  </si>
  <si>
    <t>Proizvodnja čeličnih cijevi i pribora</t>
  </si>
  <si>
    <t>2431</t>
  </si>
  <si>
    <t>13. Zaštita novčanog tijeka</t>
  </si>
  <si>
    <t>14. Promjene računovodstvenih politika</t>
  </si>
  <si>
    <t>15. Ispravak značajnih pogrešaka prethodnog razdoblja</t>
  </si>
  <si>
    <t>16. Ostale promjene kapitala</t>
  </si>
  <si>
    <t>Zrinski Topolovac</t>
  </si>
  <si>
    <t>Karlovac</t>
  </si>
  <si>
    <t>Preseka</t>
  </si>
  <si>
    <t>Žakanje</t>
  </si>
  <si>
    <t>Karojba</t>
  </si>
  <si>
    <t>Prgomet</t>
  </si>
  <si>
    <t>Žminj</t>
  </si>
  <si>
    <t>Proizvodnja škroba i škrobnih proizvoda</t>
  </si>
  <si>
    <t>1071</t>
  </si>
  <si>
    <t>Proizvodnja kruha; proizvodnja svježih peciva, slastičarskih proizvoda i kolača</t>
  </si>
  <si>
    <t>1072</t>
  </si>
  <si>
    <t>Djelatnosti posredovanja u poslovanju vrijednosnim papirima i robnim ugovorima</t>
  </si>
  <si>
    <t>6619</t>
  </si>
  <si>
    <t>Ostale pomoćne djelatnosti kod financijskih usluga, osim osiguranja i mirovinskih fondova</t>
  </si>
  <si>
    <t>6621</t>
  </si>
  <si>
    <t>Procjena rizika i štete</t>
  </si>
  <si>
    <t>6622</t>
  </si>
  <si>
    <t xml:space="preserve">Djelatnosti agenata i posrednika osiguranja </t>
  </si>
  <si>
    <t>6629</t>
  </si>
  <si>
    <t>Ostale pomoćne djelatnosti u osiguranju i mirovinskim fondovima</t>
  </si>
  <si>
    <t>6630</t>
  </si>
  <si>
    <t>Djelatnosti upravljanja fondovima</t>
  </si>
  <si>
    <t>6810</t>
  </si>
  <si>
    <t>Kupnja i prodaja vlastitih nekretnina</t>
  </si>
  <si>
    <t>6820</t>
  </si>
  <si>
    <t>Iznajmljivanje i upravljanje vlastitim nekretninama ili nekretninama uzetim u zakup (leasing)</t>
  </si>
  <si>
    <t xml:space="preserve">44. </t>
  </si>
  <si>
    <t xml:space="preserve">Porijeklo kapitala (postotak) mora biti upisan bez znaka postotka i suma stranog i domaćeg kapitala mora biti jednaka 100. </t>
  </si>
  <si>
    <t>Djelatnosti mljekara i proizvođača sira</t>
  </si>
  <si>
    <t>1052</t>
  </si>
  <si>
    <t>Proizvodnja sladoleda</t>
  </si>
  <si>
    <t>1061</t>
  </si>
  <si>
    <t>Proizvodnja mlinskih proizvoda</t>
  </si>
  <si>
    <t>1062</t>
  </si>
  <si>
    <t xml:space="preserve"> 14. Ostala materijalna imovina - bruto</t>
  </si>
  <si>
    <t xml:space="preserve"> 15. Ulaganje u nekretnine - bruto</t>
  </si>
  <si>
    <t xml:space="preserve"> 16. Zalihe energetskih proizvoda (ugljen, nafta, derivati, plin i dr.) - bruto</t>
  </si>
  <si>
    <t>Sveti Ilija</t>
  </si>
  <si>
    <t>Donja Dubrava</t>
  </si>
  <si>
    <t>Marijanci</t>
  </si>
  <si>
    <t>Sveti Ivan Zelina</t>
  </si>
  <si>
    <t>Donja Motičina</t>
  </si>
  <si>
    <t>Marina</t>
  </si>
  <si>
    <t>Sveti Ivan Žabno</t>
  </si>
  <si>
    <t>Donja Stubica</t>
  </si>
  <si>
    <t>Markušica</t>
  </si>
  <si>
    <t>Sveti Juraj na Bregu</t>
  </si>
  <si>
    <t>Donja Voća</t>
  </si>
  <si>
    <t>Martinska Ves</t>
  </si>
  <si>
    <t>Belupo d.d.</t>
  </si>
  <si>
    <t>Danica d.o.o.</t>
  </si>
  <si>
    <t>Lero d.o.o.</t>
  </si>
  <si>
    <t>Poni trgovina d.o.o.</t>
  </si>
  <si>
    <t>Podravka Inženjering d.o.o.</t>
  </si>
  <si>
    <t>Koprivnička tiskarnica nekretnine d.o.o.</t>
  </si>
  <si>
    <t xml:space="preserve">Ital-Ice d.o.o. </t>
  </si>
  <si>
    <t>Podravsko ugostiteljstvo</t>
  </si>
  <si>
    <t xml:space="preserve">Sana d.o.o. </t>
  </si>
  <si>
    <t>Podravka d.o.o.</t>
  </si>
  <si>
    <t>Podravka d.o.e.l.</t>
  </si>
  <si>
    <t>Podravka-International Deutschland - Konar GmbH</t>
  </si>
  <si>
    <t>Podravka-International kft</t>
  </si>
  <si>
    <t>Podravka-International e.o.o.d.</t>
  </si>
  <si>
    <t>Podravka-International Pty Ltd</t>
  </si>
  <si>
    <t>Podravka-International s r.o.</t>
  </si>
  <si>
    <t>Podravka Polska Sp.z o.o.</t>
  </si>
  <si>
    <t>Podravka-International s.r.l.</t>
  </si>
  <si>
    <t>Podravka - Lagris a.s.</t>
  </si>
  <si>
    <t>Podravka International Inc.</t>
  </si>
  <si>
    <t>Koprivnica, Hrvatska</t>
  </si>
  <si>
    <t>Rijeka, Hrvatska</t>
  </si>
  <si>
    <t>Poreč, Hrvatska</t>
  </si>
  <si>
    <t>Hoče, Slovenija</t>
  </si>
  <si>
    <t>Ljubljana, Slovenija</t>
  </si>
  <si>
    <t>Trgovina na veliko krutim, tekućim i plinovitim gorivima i srodnim proizvodima</t>
  </si>
  <si>
    <t>4672</t>
  </si>
  <si>
    <t>Trgovina na veliko metalima i metalnim rudama</t>
  </si>
  <si>
    <t>4673</t>
  </si>
  <si>
    <t>Trgovina na veliko drvom, građevinskim materijalom i sanitarnom opremom</t>
  </si>
  <si>
    <t>4674</t>
  </si>
  <si>
    <t>Trgovina na veliko željeznom robom, instalacijskim materijalom i opremom za vodovod i grijanje</t>
  </si>
  <si>
    <t>4675</t>
  </si>
  <si>
    <t>Trgovina na veliko kemijskim proizvodima</t>
  </si>
  <si>
    <t>4676</t>
  </si>
  <si>
    <t>Trgovina na veliko ostalim poluproizvodima</t>
  </si>
  <si>
    <t>4677</t>
  </si>
  <si>
    <t>Trgovina na veliko ostacima i otpacima</t>
  </si>
  <si>
    <t>4690</t>
  </si>
  <si>
    <t xml:space="preserve">Proizvodnja sanitarne keramike </t>
  </si>
  <si>
    <t>2343</t>
  </si>
  <si>
    <t>Proizvodnja keramičkih izolatora i izolacijskog pribora</t>
  </si>
  <si>
    <t>2344</t>
  </si>
  <si>
    <t>Proizvodnja ostalih tehničkih proizvoda od keramike</t>
  </si>
  <si>
    <t>2349</t>
  </si>
  <si>
    <t>Proizvodnja ostalih proizvoda od keramike</t>
  </si>
  <si>
    <t>2351</t>
  </si>
  <si>
    <t>Proizvodnja cementa</t>
  </si>
  <si>
    <t>2352</t>
  </si>
  <si>
    <t xml:space="preserve">Proizvodnja vapna i gipsa </t>
  </si>
  <si>
    <t>2361</t>
  </si>
  <si>
    <t>Proizvodnja proizvoda od betona za građevinarstvo</t>
  </si>
  <si>
    <t>2362</t>
  </si>
  <si>
    <t xml:space="preserve"> 87.  Vrijednosno usklađivanje zaliha proizvodnje u tijeku, nedovršenih
         proizvoda i poluproizvoda</t>
  </si>
  <si>
    <t>Broj mjeseci poslovanja:</t>
  </si>
  <si>
    <t>Osoba za kontaktiranje:</t>
  </si>
  <si>
    <t>(unosi se samo prezime i ime osobe za kontakt)</t>
  </si>
  <si>
    <t>Telefon:</t>
  </si>
  <si>
    <t>Telefaks:</t>
  </si>
  <si>
    <t xml:space="preserve">   1. Sirovine i materijal</t>
  </si>
  <si>
    <t xml:space="preserve">   2. Proizvodnja u tijeku</t>
  </si>
  <si>
    <t xml:space="preserve">   3. Nedovršeni proizvodi i poluproizvodi</t>
  </si>
  <si>
    <t xml:space="preserve">   4. Gotovi proizvodi</t>
  </si>
  <si>
    <t xml:space="preserve">   5. Trgovačka roba</t>
  </si>
  <si>
    <t xml:space="preserve">   6. Predujmovi za zalihe</t>
  </si>
  <si>
    <t xml:space="preserve">   7. Ostala imovina namijenjena prodaji</t>
  </si>
  <si>
    <t xml:space="preserve">   1. Potraživanja od povezanih poduzetnika</t>
  </si>
  <si>
    <t xml:space="preserve">   2. Potraživanja od kupaca</t>
  </si>
  <si>
    <t>Tehničko i strukovno srednje obrazovanje</t>
  </si>
  <si>
    <t>8541</t>
  </si>
  <si>
    <t>Obrazovanje nakon srednjeg koje nije visoko</t>
  </si>
  <si>
    <t>8542</t>
  </si>
  <si>
    <t xml:space="preserve">Visoko obrazovanje </t>
  </si>
  <si>
    <t>8551</t>
  </si>
  <si>
    <t>Obrazovanje i poučavanje u području sporta i rekreacije</t>
  </si>
  <si>
    <t>8552</t>
  </si>
  <si>
    <t>Obrazovanje i poučavanje u području kulture</t>
  </si>
  <si>
    <t>8553</t>
  </si>
  <si>
    <t>Djelatnosti vozačkih škola</t>
  </si>
  <si>
    <t>8559</t>
  </si>
  <si>
    <t>Ostalo obrazovanje i poučavanje, d. n.</t>
  </si>
  <si>
    <t>8560</t>
  </si>
  <si>
    <t>Pomoćne uslužne djelatnosti u obrazovanju</t>
  </si>
  <si>
    <t>8610</t>
  </si>
  <si>
    <t>Djelatnosti bolnica</t>
  </si>
  <si>
    <t>8621</t>
  </si>
  <si>
    <t>Djelatnosti opće medicinske prakse</t>
  </si>
  <si>
    <t>8622</t>
  </si>
  <si>
    <t>Djelatnosti specijalističke medicinske prakse</t>
  </si>
  <si>
    <t>8623</t>
  </si>
  <si>
    <t>Djelatnosti stomatološke prakse</t>
  </si>
  <si>
    <t>8690</t>
  </si>
  <si>
    <t>Ostale djelatnosti zdravstvene zaštite</t>
  </si>
  <si>
    <t>8710</t>
  </si>
  <si>
    <t>Djelatnosti ustanova za njegu</t>
  </si>
  <si>
    <t>8720</t>
  </si>
  <si>
    <t xml:space="preserve">Djelatnosti socijalne skrbi sa smještajem za osobe s teškoćama u razvoju, duševno bolesne osobe i osobe ovisne o alkoholu, drogama ili drugim opojnim sredstvima </t>
  </si>
  <si>
    <t>8730</t>
  </si>
  <si>
    <t>Veličina</t>
  </si>
  <si>
    <t>Vlasništvo</t>
  </si>
  <si>
    <t>Zaposleni</t>
  </si>
  <si>
    <t>PorijekloKap</t>
  </si>
  <si>
    <t>MjesPosl</t>
  </si>
  <si>
    <t>KontOsob</t>
  </si>
  <si>
    <t>OvlOsime</t>
  </si>
  <si>
    <t>Novi Golubovec</t>
  </si>
  <si>
    <t>Trnava</t>
  </si>
  <si>
    <t>Đurmanec</t>
  </si>
  <si>
    <t>Novi Marof</t>
  </si>
  <si>
    <t>Trnovec Bartolovečki</t>
  </si>
  <si>
    <t>Erdut</t>
  </si>
  <si>
    <t>Novi Vinodolski</t>
  </si>
  <si>
    <t>Trogir</t>
  </si>
  <si>
    <t>Netretić</t>
  </si>
  <si>
    <t>Kod Bilance, Računa dobiti i gubitka i Promjena kapitala, postoji dio AOP oznaka (na kraju svakog obrasca) koje se popunjavaju samo prilikom predaje konsolidiranih izvještaja. Ova kontrola je pogrešna ako su te pozicije ispunjene za nekonsolidirane izvještaje, ili nisu popunjene prilikom predaje konsolidiranih izvještaja).</t>
  </si>
  <si>
    <t>M.P.</t>
  </si>
  <si>
    <t>Referentna stranica</t>
  </si>
  <si>
    <t xml:space="preserve">43. </t>
  </si>
  <si>
    <t>(potpis osobe ovlaštene za zastupanje)</t>
  </si>
  <si>
    <t xml:space="preserve">   4. Predujmovi za nabavu nematerijalne imovine</t>
  </si>
  <si>
    <t>IV. NOVAC U BANCI I BLAGAJNI</t>
  </si>
  <si>
    <t>D)  PLAĆENI TROŠKOVI BUDUĆEG RAZDOBLJA I OBRAČUNATI PRIHODI</t>
  </si>
  <si>
    <t>E)  GUBITAK IZNAD KAPITALA</t>
  </si>
  <si>
    <t>F)  UKUPNO AKTIVA (001+002+033+058+059)</t>
  </si>
  <si>
    <t>G)  IZVANBILANČNI ZAPISI</t>
  </si>
  <si>
    <t>PASIVA</t>
  </si>
  <si>
    <t>Trgovina na veliko poljoprivrednim strojevima, opremom i priborom</t>
  </si>
  <si>
    <t>4662</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</si>
  <si>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</si>
  <si>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</si>
  <si>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</si>
  <si>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</si>
  <si>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</si>
  <si>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</si>
  <si>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</si>
  <si>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</si>
  <si>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</si>
  <si>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</si>
  <si>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</si>
  <si>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</si>
  <si>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</si>
  <si>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</si>
  <si>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</si>
  <si>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</si>
  <si>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</si>
  <si>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</si>
  <si>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</si>
  <si>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</si>
  <si>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</si>
  <si>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</si>
  <si>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Proizvodnja margarina i sličnih jestivih masti</t>
  </si>
  <si>
    <t>1051</t>
  </si>
  <si>
    <t>Ako su Dodatni podaci popunjeni (predaja za statističke svrhe), mora biti zadovoljen uvjet da bruto iznos nekih stavaka u Dodatnim podacima mora biti veći ili jednak neto iznosu u Bilanci, tj. AOP 167 &gt;= AOP 019.</t>
  </si>
  <si>
    <t>Kriterij 1. Iznos aktive (AOP 060-059)</t>
  </si>
  <si>
    <t>Kriterij 2. Ukupni prihodi (AOP 142)</t>
  </si>
  <si>
    <t>Kriterij za veličinu veliki</t>
  </si>
  <si>
    <t>Kriterij za veličinu srednje veliki</t>
  </si>
  <si>
    <t>Izvještaj o promjenama kapitala</t>
  </si>
  <si>
    <t>Revizorsko izvješće</t>
  </si>
  <si>
    <t>Godišnje izvješće</t>
  </si>
  <si>
    <t>Odluka o raspodjeli dobiti ili pokriću gubitka</t>
  </si>
  <si>
    <t>Odluka o utvrđivanju godišnjeg financijskog izvještaja</t>
  </si>
  <si>
    <t>Popis dokumentacije</t>
  </si>
  <si>
    <t>OPC</t>
  </si>
  <si>
    <t>NAZIV_OPC</t>
  </si>
  <si>
    <t>ZUP</t>
  </si>
  <si>
    <t>NAZIV_ZUP</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</si>
  <si>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</si>
  <si>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</si>
  <si>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</si>
  <si>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</si>
  <si>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</si>
  <si>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</si>
  <si>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</si>
  <si>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</si>
  <si>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</si>
  <si>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</si>
  <si>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</si>
  <si>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</si>
  <si>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</si>
  <si>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</si>
  <si>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</si>
  <si>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</si>
  <si>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</si>
  <si>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</si>
  <si>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</si>
  <si>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</si>
  <si>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</si>
  <si>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</si>
  <si>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</si>
  <si>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</si>
  <si>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SIF_SVRHE</t>
  </si>
  <si>
    <t>OPIS_SVRHE</t>
  </si>
  <si>
    <t>VEL</t>
  </si>
  <si>
    <t>OPIS VEL</t>
  </si>
  <si>
    <t>VP</t>
  </si>
  <si>
    <t>777</t>
  </si>
  <si>
    <t>VER</t>
  </si>
  <si>
    <r>
      <t>Obrazac</t>
    </r>
    <r>
      <rPr>
        <b/>
        <sz val="10"/>
        <color indexed="18"/>
        <rFont val="Arial"/>
        <family val="2"/>
        <charset val="238"/>
      </rPr>
      <t xml:space="preserve">
</t>
    </r>
    <r>
      <rPr>
        <b/>
        <sz val="12"/>
        <color indexed="18"/>
        <rFont val="Arial Black"/>
        <family val="2"/>
        <charset val="238"/>
      </rPr>
      <t>POD-PK</t>
    </r>
  </si>
  <si>
    <t>(osoba ovlaštene za zastupanje)</t>
  </si>
  <si>
    <t>Završni dan računa dobiti i gubitka je ujedno i datum stanja u bilanci</t>
  </si>
  <si>
    <t>Udjel</t>
  </si>
  <si>
    <t xml:space="preserve"> 50.  Kratkoročni trgovački krediti i predujmovi od stanovništva</t>
  </si>
  <si>
    <t>Reguliranje djelatnosti subjekata koji pružaju zdravstvenu zaštitu, usluge u obrazovanju i kulturi i druge društvene usluge, osim obveznoga socijalnog osiguranja</t>
  </si>
  <si>
    <t>8413</t>
  </si>
  <si>
    <t>Reguliranje i poboljšavanje poslovanja u gospodarstvu</t>
  </si>
  <si>
    <t>8421</t>
  </si>
  <si>
    <t>Vanjski poslovi</t>
  </si>
  <si>
    <t>8422</t>
  </si>
  <si>
    <t>Poslovi obrane</t>
  </si>
  <si>
    <t>8423</t>
  </si>
  <si>
    <t>Sudske i pravosudne djelatnosti</t>
  </si>
  <si>
    <t>8424</t>
  </si>
  <si>
    <t>Poslovi javnog reda i sigurnosti</t>
  </si>
  <si>
    <t>8425</t>
  </si>
  <si>
    <t>Djelatnosti vatrogasne službe</t>
  </si>
  <si>
    <t>8430</t>
  </si>
  <si>
    <t>Djelatnosti obveznoga socijalnog osiguranja</t>
  </si>
  <si>
    <t>8510</t>
  </si>
  <si>
    <t>Predškolsko obrazovanje</t>
  </si>
  <si>
    <t>8520</t>
  </si>
  <si>
    <t>Osnovno obrazovanje</t>
  </si>
  <si>
    <t>Ukupno povećanje novčanog tijeka (013 – 014 + 025 – 026 + 037 – 038)</t>
  </si>
  <si>
    <t>Ukupno smanjenje novčanog tijeka (014 – 013 + 026 – 025 + 038 – 037)</t>
  </si>
  <si>
    <r>
      <t>Obrazac</t>
    </r>
    <r>
      <rPr>
        <b/>
        <sz val="10"/>
        <color indexed="18"/>
        <rFont val="Arial"/>
        <family val="2"/>
        <charset val="238"/>
      </rPr>
      <t xml:space="preserve">
</t>
    </r>
    <r>
      <rPr>
        <b/>
        <sz val="12"/>
        <color indexed="18"/>
        <rFont val="Arial Black"/>
        <family val="2"/>
        <charset val="238"/>
      </rPr>
      <t>POD-NTI</t>
    </r>
  </si>
  <si>
    <r>
      <t>Obrazac</t>
    </r>
    <r>
      <rPr>
        <b/>
        <sz val="10"/>
        <color indexed="18"/>
        <rFont val="Arial"/>
        <family val="2"/>
        <charset val="238"/>
      </rPr>
      <t xml:space="preserve">
</t>
    </r>
    <r>
      <rPr>
        <b/>
        <sz val="12"/>
        <color indexed="18"/>
        <rFont val="Arial Black"/>
        <family val="2"/>
        <charset val="238"/>
      </rPr>
      <t>POD-DOP</t>
    </r>
  </si>
  <si>
    <r>
      <t>Obrazac</t>
    </r>
    <r>
      <rPr>
        <b/>
        <sz val="10"/>
        <color indexed="18"/>
        <rFont val="Arial"/>
        <family val="2"/>
        <charset val="238"/>
      </rPr>
      <t xml:space="preserve">
</t>
    </r>
    <r>
      <rPr>
        <b/>
        <sz val="12"/>
        <color indexed="18"/>
        <rFont val="Arial Black"/>
        <family val="2"/>
        <charset val="238"/>
      </rPr>
      <t>POD-RDG</t>
    </r>
  </si>
  <si>
    <r>
      <t>Obrazac</t>
    </r>
    <r>
      <rPr>
        <b/>
        <sz val="10"/>
        <color indexed="18"/>
        <rFont val="Arial"/>
        <family val="2"/>
        <charset val="238"/>
      </rPr>
      <t xml:space="preserve">
</t>
    </r>
    <r>
      <rPr>
        <b/>
        <sz val="12"/>
        <color indexed="18"/>
        <rFont val="Arial Black"/>
        <family val="2"/>
        <charset val="238"/>
      </rPr>
      <t>POD-BIL</t>
    </r>
  </si>
  <si>
    <t>KNTRLISTE</t>
  </si>
  <si>
    <t>KTR_BROJ</t>
  </si>
  <si>
    <t>Destiliranje, pročišćavanje i miješanje alkoholnih pića</t>
  </si>
  <si>
    <t>1102</t>
  </si>
  <si>
    <t>Proizvodnja vina od grožđa</t>
  </si>
  <si>
    <t>1103</t>
  </si>
  <si>
    <t>Proizvodnja jabukovače i ostalih voćnih vina</t>
  </si>
  <si>
    <t>1104</t>
  </si>
  <si>
    <t>Proizvodnja ostalih nedestiliranih fermentiranih pića</t>
  </si>
  <si>
    <t>1105</t>
  </si>
  <si>
    <t>Proizvodnja piva</t>
  </si>
  <si>
    <t>1106</t>
  </si>
  <si>
    <t>Proizvodnja slada</t>
  </si>
  <si>
    <t>1107</t>
  </si>
  <si>
    <t>Proizvodnja osvježavajućih napitaka; proizvodnja mineralne i drugih flaširanih voda</t>
  </si>
  <si>
    <t>1200</t>
  </si>
  <si>
    <t>Ovaj dio ne spada u standardni obrazac GFI-POD izvještaja, ali ispunjavanjem ovih podataka osigurat ćete da Vas Excel datoteka preko kontrola upozori koju popratnu (nestandardnu) dokumentaciju ste dužni predati prilikom predaje GFI-POD izvještaja. Isto tako, upisom datuma razdoblja za koje predajete izvještaj datum će se automatski prenijeti na sve obrasce i omogućiti provjeru vrste izvještaja i broja mjeseci poslovanja. Odaberete li krivu vrstu poslovnog subjekta, moguće je da obrazac, iako je točan u Excelu bude netočan nakon predaje na šalteru ili putem web-a te da nestandardna dokumentacija bude nepotpuna.</t>
  </si>
  <si>
    <t>Trgovina na veliko alatnim strojevima</t>
  </si>
  <si>
    <t>4663</t>
  </si>
  <si>
    <t>Trgovina na veliko strojevima za rudnike i građevinarstvo</t>
  </si>
  <si>
    <t>4664</t>
  </si>
  <si>
    <t>Trgovina na veliko strojevima za tekstilnu industriju te strojevima za šivanje i pletenje</t>
  </si>
  <si>
    <t>4665</t>
  </si>
  <si>
    <t>Trgovina na veliko uredskim namještajem</t>
  </si>
  <si>
    <t>4666</t>
  </si>
  <si>
    <t>Trgovina na veliko ostalim uredskim strojevima i opremom</t>
  </si>
  <si>
    <t>4669</t>
  </si>
  <si>
    <t xml:space="preserve">Trgovina automobilima i motornim vozilima lake kategorije </t>
  </si>
  <si>
    <t>4519</t>
  </si>
  <si>
    <t>Trgovina ostalim motornim vozilima</t>
  </si>
  <si>
    <t>4520</t>
  </si>
  <si>
    <t>Održavanje i popravak motornih vozila</t>
  </si>
  <si>
    <t>4531</t>
  </si>
  <si>
    <t xml:space="preserve">Trgovina na veliko dijelovima i priborom za motorna vozila </t>
  </si>
  <si>
    <t>4532</t>
  </si>
  <si>
    <t>Trgovina na malo dijelovima i priborom za motorna vozila</t>
  </si>
  <si>
    <t>4540</t>
  </si>
  <si>
    <t>Trgovina motociklima, dijelovima i priborom za motocikle te održavanje i popravak motocikala</t>
  </si>
  <si>
    <t>4611</t>
  </si>
  <si>
    <t>Posredovanje u trgovini poljoprivrednim sirovinama, živom stokom, tekstilnim sirovinama i poluproizvodima</t>
  </si>
  <si>
    <t>4612</t>
  </si>
  <si>
    <t>Posredovanje u trgovini gorivima, rudama, metalima i industrijskim kemijskim proizvodima</t>
  </si>
  <si>
    <t>4613</t>
  </si>
  <si>
    <t>Posredovanje u trgovini drvom i građevinskim materijalom</t>
  </si>
  <si>
    <t>4614</t>
  </si>
  <si>
    <t>Posredovanje u trgovini strojevima, industrijskom opremom, brodovima i zrakoplovima</t>
  </si>
  <si>
    <t>4615</t>
  </si>
  <si>
    <t>Posredovanje u trgovini namještajem, proizvodima za kućanstvo i željeznom robom</t>
  </si>
  <si>
    <t>4616</t>
  </si>
  <si>
    <t>Posredovanje u trgovini tekstilom, odjećom, krznom, obućom i kožnim proizvodima</t>
  </si>
  <si>
    <t>4617</t>
  </si>
  <si>
    <t>Posredovanje u trgovini hranom, pićima i duhanom</t>
  </si>
  <si>
    <t>(matični broj servisa)</t>
  </si>
  <si>
    <t>(naziv servisa)</t>
  </si>
  <si>
    <t xml:space="preserve">45. </t>
  </si>
  <si>
    <t>Ako su upisani podaci o knjgovodstvenom servisu ili o matičnim brojevima pripojenih subjekata te subjekata koji su sudjelovali u statusnim promjenama, te vrijednosti moraju biti brojevne (s vodećim nulama), ne tekstualne, ako je neka tekstualna kontrola je neispravna. Pogreška je i ako se u ta polja upiše 8 razmaka (koji se na ekranu ne vide ali postoje).</t>
  </si>
  <si>
    <t xml:space="preserve"> 19a. Ostali građevinski objekti - bruto</t>
  </si>
  <si>
    <t xml:space="preserve"> 19b. Ostali građevinski objekti - neto</t>
  </si>
  <si>
    <t xml:space="preserve"> 20a. Prijevozna sredstva - bruto</t>
  </si>
  <si>
    <t>Trgovina na malo igrama i igračkama u specijaliziranim prodavaonicama</t>
  </si>
  <si>
    <t>4771</t>
  </si>
  <si>
    <t>Trgovina na malo odjećom u specijaliziranim prodavaonicama</t>
  </si>
  <si>
    <t>4772</t>
  </si>
  <si>
    <t xml:space="preserve">Trgovina na malo obućom i proizvodima od kože </t>
  </si>
  <si>
    <t>4773</t>
  </si>
  <si>
    <t xml:space="preserve">Ljekarne </t>
  </si>
  <si>
    <t>4774</t>
  </si>
  <si>
    <t>IZVJEŠTAJ O PROMJENAMA KAPITALA</t>
  </si>
  <si>
    <t>Ostala izdavačka djelatnost</t>
  </si>
  <si>
    <t>5821</t>
  </si>
  <si>
    <t>Izdavanje računalnih igara</t>
  </si>
  <si>
    <t>5829</t>
  </si>
  <si>
    <t>Izdavanje ostalog softvera</t>
  </si>
  <si>
    <t>5911</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</si>
  <si>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</si>
  <si>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</si>
  <si>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</si>
  <si>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</si>
  <si>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</si>
  <si>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</si>
  <si>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</si>
  <si>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</si>
  <si>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</si>
  <si>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 xml:space="preserve">        c) Ostali vanjski troškovi</t>
  </si>
  <si>
    <t xml:space="preserve">   4. Troškovi osoblja (119 do 121)</t>
  </si>
  <si>
    <t xml:space="preserve">        a) Neto plaće i nadnice</t>
  </si>
  <si>
    <t xml:space="preserve">        b) Troškovi poreza i doprinosa iz plaća</t>
  </si>
  <si>
    <t xml:space="preserve">        c) Doprinosi na plaće</t>
  </si>
  <si>
    <t xml:space="preserve">    2. Kamate, tečajne razlike i drugi rashodi iz odnosa s nepovezanim
        poduzetnicima i drugim osobama</t>
  </si>
  <si>
    <t xml:space="preserve">    1. Kamate, tečajne razlike i drugi rashodi s povezanim poduzetnicima</t>
  </si>
  <si>
    <t xml:space="preserve">    3. Nerealizirani gubici (rashodi) financijske imovine</t>
  </si>
  <si>
    <t xml:space="preserve">    4. Ostali financijski rashodi</t>
  </si>
  <si>
    <t>VII.  UKUPNI PRIHODI (107+129+140)</t>
  </si>
  <si>
    <t>VI.   IZVANREDNI - OSTALI RASHODI</t>
  </si>
  <si>
    <t>V.    IZVANREDNI - OSTALI PRIHODI</t>
  </si>
  <si>
    <t>IX.   DOBIT PRIJE OPOREZIVANJA (142-143)</t>
  </si>
  <si>
    <t>X.    GUBITAK PRIJE OPOREZIVANJA (143-142)</t>
  </si>
  <si>
    <t>XI.   POREZ NA DOBIT</t>
  </si>
  <si>
    <t>XII.  DOBIT RAZDOBLJA (144-146)</t>
  </si>
  <si>
    <t>XV.*   DOBIT PRIPISANA MANJINSKOM INTERESU</t>
  </si>
  <si>
    <t xml:space="preserve">Stavka Dobit poslovne godine (AOP 074) u Bilanci mora biti jednake stavci Dobit razdoblja  (AOP 147) u Računu dobiti i gubitka. Ovaj uvjet vrijedi za obje kolone podataka u svim slučajevima osim za vrstu izvještaja 32 kada se popunjava samo početna likvidacijska bilanca, a račun dobiti i gubitka se ne predaje. Isto tako, ako na razini jedne godine postoji dobit, ne može postojati i gubitak i obratno. Zbog zaokruživanja podataka dozvoljava se razlika u podacima 1. </t>
  </si>
  <si>
    <t>Matični broj (MB):</t>
  </si>
  <si>
    <t>Matični broj suda (MBS):</t>
  </si>
  <si>
    <t>Proizvodnja duhanskih proizvoda</t>
  </si>
  <si>
    <t>1310</t>
  </si>
  <si>
    <t>Priprema i predenje tekstilnih vlakana</t>
  </si>
  <si>
    <t>1320</t>
  </si>
  <si>
    <t>Tkanje tekstila</t>
  </si>
  <si>
    <t>1330</t>
  </si>
  <si>
    <t>Dovršavanje tekstila</t>
  </si>
  <si>
    <t>1391</t>
  </si>
  <si>
    <t>Proizvodnja pletenih i kukičanih tkanina</t>
  </si>
  <si>
    <t>1392</t>
  </si>
  <si>
    <t>Proizvodnja gotovih tekstilnih proizvoda, osim odjeće</t>
  </si>
  <si>
    <t>1393</t>
  </si>
  <si>
    <t xml:space="preserve">Proizvodnja tepiha i sagova </t>
  </si>
  <si>
    <t>1394</t>
  </si>
  <si>
    <t>Proizvodnja užadi, konopaca, upletenoga konca i mreža</t>
  </si>
  <si>
    <t>1395</t>
  </si>
  <si>
    <t>Proizvodnja netkanog tekstila i proizvoda od netkanog tekstila, osim odjeće</t>
  </si>
  <si>
    <t>1396</t>
  </si>
  <si>
    <t>Proizvodnja ostaloga tehničkog i industrijskog tekstila</t>
  </si>
  <si>
    <t>1399</t>
  </si>
  <si>
    <t>Proizvodnja ostalog tekstila, d. n.</t>
  </si>
  <si>
    <t>1411</t>
  </si>
  <si>
    <t>Proizvodnja kožne odjeće</t>
  </si>
  <si>
    <t>1412</t>
  </si>
  <si>
    <t xml:space="preserve">Proizvodnja radne odjeće </t>
  </si>
  <si>
    <t>1413</t>
  </si>
  <si>
    <t>Proizvodnja ostale vanjske odjeće</t>
  </si>
  <si>
    <t>1414</t>
  </si>
  <si>
    <t>Proizvodnja rublja</t>
  </si>
  <si>
    <t>1419</t>
  </si>
  <si>
    <t xml:space="preserve">Proizvodnja ostale odjeće i pribora za odjeću </t>
  </si>
  <si>
    <t>1420</t>
  </si>
  <si>
    <t>Proizvodnja proizvoda od krzna</t>
  </si>
  <si>
    <t>1431</t>
  </si>
  <si>
    <t>Proizvodnja pletenih i kukičanih čarapa</t>
  </si>
  <si>
    <t>1439</t>
  </si>
  <si>
    <t>Proizvodnja ostale pletene i kukičane odjeće</t>
  </si>
  <si>
    <t>1511</t>
  </si>
  <si>
    <t>Štavljenje i obrada kože; dorada i bojenje krzna</t>
  </si>
  <si>
    <t>1512</t>
  </si>
  <si>
    <t>Proizvodnja putnih i ručnih torba i slično, sedlarskih i remenarskih proizvoda</t>
  </si>
  <si>
    <t>Popravak i održavanje zrakoplova i svemirskih letjelica</t>
  </si>
  <si>
    <t>3317</t>
  </si>
  <si>
    <t>Popravak i održavanje ostalih prijevoznih sredstava</t>
  </si>
  <si>
    <t>3319</t>
  </si>
  <si>
    <t>Popravak ostale opreme</t>
  </si>
  <si>
    <t>3320</t>
  </si>
  <si>
    <t>Instaliranje industrijskih strojeva i opreme</t>
  </si>
  <si>
    <t>3511</t>
  </si>
  <si>
    <t>Proizvodnja električne energije</t>
  </si>
  <si>
    <t>3512</t>
  </si>
  <si>
    <t>Prijenos električne energije</t>
  </si>
  <si>
    <t>3513</t>
  </si>
  <si>
    <t>Distribucija električne energije</t>
  </si>
  <si>
    <t>3514</t>
  </si>
  <si>
    <t>Trgovina električnom energijom</t>
  </si>
  <si>
    <t xml:space="preserve"> 89.  Vrijednosno usklađivanje zaliha trgovačke robe
        (robe i usluga nabavljenih za daljnju prodaju)</t>
  </si>
  <si>
    <t xml:space="preserve"> 91.  Prihodi od najma zemljišta i prihodi od tantijema za iskorištavanje nafte,
         plina i drugih prirodnih dobara</t>
  </si>
  <si>
    <t>Proizvodnja instrumenata i aparata za mjerenje, ispitivanje i navigaciju</t>
  </si>
  <si>
    <t>2652</t>
  </si>
  <si>
    <t xml:space="preserve">Proizvodnja satova </t>
  </si>
  <si>
    <t>2660</t>
  </si>
  <si>
    <t>Proizvodnja opreme za zračenje, elektromedicinske i elektroterapeutske opreme</t>
  </si>
  <si>
    <t>2670</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</si>
  <si>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</si>
  <si>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</si>
  <si>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</si>
  <si>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</si>
  <si>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</si>
  <si>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</si>
  <si>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</si>
  <si>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</si>
  <si>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</si>
  <si>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</si>
  <si>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</si>
  <si>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</si>
  <si>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</si>
  <si>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</si>
  <si>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</si>
  <si>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</si>
  <si>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</si>
  <si>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</si>
  <si>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</si>
  <si>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</si>
  <si>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</si>
  <si>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</si>
  <si>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</si>
  <si>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</si>
  <si>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</si>
  <si>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</si>
  <si>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</si>
  <si>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</si>
  <si>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</si>
  <si>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</si>
  <si>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</si>
  <si>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</si>
  <si>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</si>
  <si>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</si>
  <si>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</si>
  <si>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</si>
  <si>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Poslovni subjekti predaju konsolidirani financijski izvještaj, dužni su uz izvještaj dostaviti popis subjekata konsolidacije. Udio u vlasništvu unosi se kao zaokružen cijeli broj, a označava postotak vlasništva (ne može biti veći od 100). Ako je udio u vlasništvu definiran na drugačiji način, a ne kao postotak udjela, potrebno je izračunati koliko je to iznosilo u postotku na zadnji dan razdoblja izvještavanja. Ako je subjekt konsolidacije tvrtka van Hrvatske (nema matični broj DZS-a), u polje matičnog broja ne upisujte ništa, upišite samo naziv tvrtke, a u polje Mjesto upišite mjesto i državu iz koje je spomenuta tvrtka, te postotak udjela)</t>
  </si>
  <si>
    <t>17 a. Pripisano imateljima kapitala matice</t>
  </si>
  <si>
    <t>17 b. Pripisano manjinskom interesu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</si>
</sst>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0"/>
  </numFmts>
  <fonts count="57" x14ac:knownFonts="1">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12"/>
      <color indexed="56"/>
      <name val="Arial Rounded MT Bold"/>
      <family val="2"/>
    </font>
    <font>
      <sz val="10"/>
      <color indexed="56"/>
      <name val="Arial"/>
      <family val="2"/>
      <charset val="238"/>
    </font>
    <font>
      <sz val="9"/>
      <name val="Arial"/>
      <family val="2"/>
      <charset val="238"/>
    </font>
    <font>
      <sz val="7"/>
      <name val="Arial"/>
      <family val="2"/>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12"/>
      <color indexed="18"/>
      <name val="Arial Black"/>
      <family val="2"/>
      <charset val="238"/>
    </font>
    <font>
      <b/>
      <sz val="8"/>
      <color indexed="12"/>
      <name val="Arial"/>
      <family val="2"/>
      <charset val="238"/>
    </font>
    <font>
      <sz val="10"/>
      <color indexed="12"/>
      <name val="Arial"/>
      <family val="2"/>
      <charset val="238"/>
    </font>
    <font>
      <b/>
      <sz val="9"/>
      <color indexed="12"/>
      <name val="Arial"/>
      <family val="2"/>
      <charset val="238"/>
    </font>
    <font>
      <b/>
      <sz val="8"/>
      <color indexed="10"/>
      <name val="Arial"/>
      <family val="2"/>
      <charset val="238"/>
    </font>
    <font>
      <sz val="10"/>
      <color indexed="10"/>
      <name val="Arial"/>
      <family val="2"/>
      <charset val="238"/>
    </font>
    <font>
      <b/>
      <sz val="9"/>
      <color indexed="56"/>
      <name val="Arial"/>
      <family val="2"/>
      <charset val="238"/>
    </font>
    <font>
      <sz val="8"/>
      <color indexed="9"/>
      <name val="Arial"/>
      <family val="2"/>
      <charset val="238"/>
    </font>
    <font>
      <b/>
      <sz val="11"/>
      <color indexed="56"/>
      <name val="Arial Rounded MT Bold"/>
      <family val="2"/>
    </font>
    <font>
      <sz val="8"/>
      <color indexed="81"/>
      <name val="Tahoma"/>
      <family val="2"/>
      <charset val="238"/>
    </font>
    <font>
      <b/>
      <sz val="8"/>
      <color indexed="81"/>
      <name val="Tahoma"/>
      <family val="2"/>
      <charset val="238"/>
    </font>
    <font>
      <sz val="7"/>
      <name val="Arial"/>
      <family val="2"/>
      <charset val="238"/>
    </font>
    <font>
      <sz val="8"/>
      <color indexed="81"/>
      <name val="Tahoma"/>
      <family val="2"/>
      <charset val="238"/>
    </font>
    <font>
      <sz val="8"/>
      <color indexed="22"/>
      <name val="Arial"/>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family val="2"/>
      <charset val="238"/>
    </font>
    <font>
      <b/>
      <sz val="8"/>
      <color indexed="9"/>
      <name val="Arial"/>
      <family val="2"/>
      <charset val="238"/>
    </font>
    <font>
      <b/>
      <sz val="9"/>
      <color indexed="9"/>
      <name val="Arial"/>
      <family val="2"/>
      <charset val="238"/>
    </font>
    <font>
      <sz val="10"/>
      <color indexed="9"/>
      <name val="Arial"/>
      <family val="2"/>
      <charset val="238"/>
    </font>
    <font>
      <b/>
      <sz val="9"/>
      <color indexed="23"/>
      <name val="Arial CE"/>
    </font>
    <font>
      <b/>
      <sz val="9"/>
      <color indexed="23"/>
      <name val="Arial"/>
      <family val="2"/>
      <charset val="238"/>
    </font>
    <font>
      <b/>
      <sz val="9"/>
      <color indexed="13"/>
      <name val="Arial"/>
      <family val="2"/>
      <charset val="238"/>
    </font>
    <font>
      <b/>
      <sz val="7"/>
      <color indexed="9"/>
      <name val="Arial"/>
      <family val="2"/>
      <charset val="238"/>
    </font>
    <font>
      <sz val="8"/>
      <color indexed="56"/>
      <name val="Arial"/>
      <family val="2"/>
      <charset val="238"/>
    </font>
    <font>
      <b/>
      <sz val="10"/>
      <color indexed="13"/>
      <name val="Arial"/>
      <family val="2"/>
      <charset val="238"/>
    </font>
    <font>
      <b/>
      <sz val="14"/>
      <name val="Arial"/>
      <family val="2"/>
      <charset val="238"/>
    </font>
    <font>
      <b/>
      <sz val="14"/>
      <color indexed="56"/>
      <name val="Arial"/>
      <family val="2"/>
      <charset val="238"/>
    </font>
    <font>
      <b/>
      <sz val="9"/>
      <color indexed="10"/>
      <name val="Arial"/>
      <family val="2"/>
      <charset val="238"/>
    </font>
    <font>
      <sz val="8"/>
      <color indexed="12"/>
      <name val="Arial"/>
      <family val="2"/>
      <charset val="238"/>
    </font>
    <font>
      <b/>
      <sz val="12"/>
      <color indexed="56"/>
      <name val="Arial Rounded MT Bold"/>
      <family val="2"/>
    </font>
    <font>
      <sz val="12"/>
      <color indexed="56"/>
      <name val="Arial"/>
      <family val="2"/>
      <charset val="238"/>
    </font>
    <font>
      <b/>
      <sz val="8"/>
      <color indexed="81"/>
      <name val="Tahoma"/>
      <family val="2"/>
      <charset val="238"/>
    </font>
    <font>
      <b/>
      <sz val="7"/>
      <color indexed="10"/>
      <name val="Arial"/>
      <family val="2"/>
      <charset val="238"/>
    </font>
    <font>
      <sz val="10"/>
      <name val="Arial"/>
      <family val="2"/>
      <charset val="238"/>
    </font>
  </fonts>
  <fills count="21">
    <fill>
      <patternFill patternType="none"/>
    </fill>
    <fill>
      <patternFill patternType="gray125"/>
    </fill>
    <fill>
      <patternFill patternType="solid">
        <fgColor indexed="11"/>
        <bgColor indexed="64"/>
      </patternFill>
    </fill>
    <fill>
      <patternFill patternType="solid">
        <fgColor indexed="10"/>
        <bgColor indexed="64"/>
      </patternFill>
    </fill>
    <fill>
      <patternFill patternType="lightGray">
        <fgColor indexed="22"/>
      </patternFill>
    </fill>
    <fill>
      <patternFill patternType="lightGray">
        <fgColor indexed="31"/>
      </patternFill>
    </fill>
    <fill>
      <patternFill patternType="solid">
        <fgColor indexed="55"/>
        <bgColor indexed="64"/>
      </patternFill>
    </fill>
    <fill>
      <patternFill patternType="solid">
        <fgColor indexed="23"/>
        <bgColor indexed="22"/>
      </patternFill>
    </fill>
    <fill>
      <patternFill patternType="solid">
        <fgColor indexed="56"/>
        <bgColor indexed="64"/>
      </patternFill>
    </fill>
    <fill>
      <patternFill patternType="solid">
        <fgColor indexed="22"/>
        <bgColor indexed="64"/>
      </patternFill>
    </fill>
    <fill>
      <patternFill patternType="solid">
        <fgColor indexed="13"/>
        <bgColor indexed="64"/>
      </patternFill>
    </fill>
    <fill>
      <patternFill patternType="solid">
        <fgColor indexed="27"/>
        <bgColor indexed="27"/>
      </patternFill>
    </fill>
    <fill>
      <patternFill patternType="solid">
        <fgColor indexed="26"/>
        <bgColor indexed="27"/>
      </patternFill>
    </fill>
    <fill>
      <patternFill patternType="solid">
        <fgColor indexed="26"/>
        <bgColor indexed="26"/>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indexed="26"/>
        <bgColor indexed="55"/>
      </patternFill>
    </fill>
    <fill>
      <patternFill patternType="solid">
        <fgColor indexed="56"/>
        <bgColor indexed="22"/>
      </patternFill>
    </fill>
    <fill>
      <patternFill patternType="gray125">
        <fgColor indexed="22"/>
      </patternFill>
    </fill>
    <fill>
      <patternFill patternType="gray125">
        <fgColor indexed="22"/>
        <bgColor indexed="22"/>
      </patternFill>
    </fill>
  </fills>
  <borders count="8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9"/>
      </left>
      <right style="thin">
        <color indexed="64"/>
      </right>
      <top style="thin">
        <color indexed="9"/>
      </top>
      <bottom style="thin">
        <color indexed="64"/>
      </bottom>
      <diagonal/>
    </border>
    <border>
      <left style="thin">
        <color indexed="64"/>
      </left>
      <right style="thin">
        <color indexed="9"/>
      </right>
      <top style="thin">
        <color indexed="64"/>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style="thin">
        <color indexed="12"/>
      </bottom>
      <diagonal/>
    </border>
    <border>
      <left style="thin">
        <color indexed="64"/>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22"/>
      </top>
      <bottom style="thin">
        <color indexed="12"/>
      </bottom>
      <diagonal/>
    </border>
    <border>
      <left/>
      <right style="thin">
        <color indexed="64"/>
      </right>
      <top style="medium">
        <color indexed="22"/>
      </top>
      <bottom style="thin">
        <color indexed="12"/>
      </bottom>
      <diagonal/>
    </border>
    <border>
      <left/>
      <right/>
      <top style="medium">
        <color indexed="22"/>
      </top>
      <bottom style="thin">
        <color indexed="12"/>
      </bottom>
      <diagonal/>
    </border>
    <border>
      <left style="thin">
        <color indexed="64"/>
      </left>
      <right style="thin">
        <color indexed="64"/>
      </right>
      <top style="thin">
        <color indexed="64"/>
      </top>
      <bottom/>
      <diagonal/>
    </border>
    <border>
      <left style="thin">
        <color indexed="64"/>
      </left>
      <right style="thin">
        <color indexed="64"/>
      </right>
      <top/>
      <bottom style="thin">
        <color indexed="12"/>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56"/>
      </left>
      <right style="medium">
        <color indexed="56"/>
      </right>
      <top style="medium">
        <color indexed="56"/>
      </top>
      <bottom style="medium">
        <color indexed="56"/>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9"/>
      </left>
      <right style="thin">
        <color indexed="9"/>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9"/>
      </left>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56" fillId="0" borderId="0"/>
    <xf numFmtId="0" fontId="8" fillId="0" borderId="0"/>
  </cellStyleXfs>
  <cellXfs count="607">
    <xf numFmtId="0" fontId="0" fillId="0" borderId="0" xfId="0"/>
    <xf numFmtId="0" fontId="4" fillId="0" borderId="0" xfId="0" applyFont="1" applyFill="1" applyBorder="1" applyAlignment="1">
      <alignment vertical="center" wrapText="1"/>
    </xf>
    <xf numFmtId="0" fontId="4" fillId="0" borderId="0" xfId="0" applyFont="1" applyFill="1" applyBorder="1" applyAlignment="1">
      <alignment vertical="center"/>
    </xf>
    <xf numFmtId="0" fontId="1" fillId="0" borderId="0" xfId="0" applyFont="1" applyFill="1" applyBorder="1" applyAlignment="1">
      <alignment vertical="center"/>
    </xf>
    <xf numFmtId="167" fontId="3" fillId="0" borderId="2" xfId="0" applyNumberFormat="1" applyFont="1" applyFill="1" applyBorder="1" applyAlignment="1">
      <alignment horizontal="center" vertical="center"/>
    </xf>
    <xf numFmtId="167" fontId="3" fillId="0" borderId="3" xfId="0" applyNumberFormat="1" applyFont="1" applyFill="1" applyBorder="1" applyAlignment="1">
      <alignment horizontal="center" vertical="center"/>
    </xf>
    <xf numFmtId="167" fontId="3" fillId="0" borderId="4" xfId="0" applyNumberFormat="1" applyFont="1" applyFill="1" applyBorder="1" applyAlignment="1">
      <alignment horizontal="center" vertical="center"/>
    </xf>
    <xf numFmtId="49" fontId="3" fillId="0" borderId="4" xfId="0" applyNumberFormat="1" applyFont="1" applyFill="1" applyBorder="1" applyAlignment="1" applyProtection="1">
      <alignment vertical="center"/>
      <protection locked="0"/>
    </xf>
    <xf numFmtId="49" fontId="3" fillId="0" borderId="2" xfId="0" applyNumberFormat="1" applyFont="1" applyFill="1" applyBorder="1" applyAlignment="1" applyProtection="1">
      <alignment vertical="center"/>
      <protection locked="0"/>
    </xf>
    <xf numFmtId="49" fontId="3" fillId="0" borderId="3" xfId="0" applyNumberFormat="1" applyFont="1" applyFill="1" applyBorder="1" applyAlignment="1" applyProtection="1">
      <alignment vertical="center"/>
      <protection locked="0"/>
    </xf>
    <xf numFmtId="49" fontId="3" fillId="0" borderId="5" xfId="0" applyNumberFormat="1" applyFont="1" applyFill="1" applyBorder="1" applyAlignment="1" applyProtection="1">
      <alignment vertical="center"/>
      <protection locked="0"/>
    </xf>
    <xf numFmtId="49" fontId="3" fillId="0" borderId="6" xfId="0" applyNumberFormat="1" applyFont="1" applyFill="1" applyBorder="1" applyAlignment="1" applyProtection="1">
      <alignment vertical="center"/>
      <protection locked="0"/>
    </xf>
    <xf numFmtId="0" fontId="0" fillId="0" borderId="0" xfId="0" applyFill="1" applyBorder="1"/>
    <xf numFmtId="167" fontId="13" fillId="0" borderId="2" xfId="0" applyNumberFormat="1" applyFont="1" applyFill="1" applyBorder="1" applyAlignment="1">
      <alignment horizontal="center" vertical="center"/>
    </xf>
    <xf numFmtId="167" fontId="13" fillId="0" borderId="7" xfId="0" applyNumberFormat="1" applyFont="1" applyFill="1" applyBorder="1" applyAlignment="1">
      <alignment horizontal="center" vertical="center"/>
    </xf>
    <xf numFmtId="49" fontId="3" fillId="0" borderId="7" xfId="0" applyNumberFormat="1" applyFont="1" applyFill="1" applyBorder="1" applyAlignment="1" applyProtection="1">
      <alignment vertical="center"/>
      <protection locked="0"/>
    </xf>
    <xf numFmtId="167" fontId="13" fillId="0" borderId="8" xfId="0" applyNumberFormat="1" applyFont="1" applyFill="1" applyBorder="1" applyAlignment="1">
      <alignment horizontal="center" vertical="center"/>
    </xf>
    <xf numFmtId="49" fontId="3" fillId="0" borderId="8" xfId="0" applyNumberFormat="1" applyFont="1" applyFill="1" applyBorder="1" applyAlignment="1" applyProtection="1">
      <alignment vertical="center"/>
      <protection locked="0"/>
    </xf>
    <xf numFmtId="167" fontId="3" fillId="0" borderId="8" xfId="0" applyNumberFormat="1" applyFont="1" applyFill="1" applyBorder="1" applyAlignment="1">
      <alignment horizontal="center" vertical="center"/>
    </xf>
    <xf numFmtId="0" fontId="20" fillId="0" borderId="0" xfId="0" applyFont="1"/>
    <xf numFmtId="167" fontId="22" fillId="0" borderId="8" xfId="0" applyNumberFormat="1" applyFont="1" applyFill="1" applyBorder="1" applyAlignment="1">
      <alignment horizontal="center" vertical="center"/>
    </xf>
    <xf numFmtId="0" fontId="11" fillId="0" borderId="9" xfId="0" applyFont="1" applyBorder="1" applyAlignment="1">
      <alignment horizontal="right" indent="1"/>
    </xf>
    <xf numFmtId="1" fontId="0" fillId="0" borderId="10" xfId="0" applyNumberFormat="1" applyBorder="1" applyProtection="1">
      <protection locked="0"/>
    </xf>
    <xf numFmtId="0" fontId="11" fillId="0" borderId="11" xfId="0" applyFont="1" applyBorder="1" applyAlignment="1">
      <alignment horizontal="right" indent="1"/>
    </xf>
    <xf numFmtId="0" fontId="8" fillId="0" borderId="0" xfId="3"/>
    <xf numFmtId="0" fontId="25" fillId="0" borderId="5" xfId="3" applyFont="1" applyBorder="1" applyAlignment="1">
      <alignment horizontal="right" vertical="center"/>
    </xf>
    <xf numFmtId="0" fontId="25" fillId="0" borderId="6" xfId="3" applyFont="1" applyBorder="1" applyAlignment="1">
      <alignment horizontal="right" vertical="center"/>
    </xf>
    <xf numFmtId="49" fontId="0" fillId="0" borderId="0" xfId="0" applyNumberFormat="1"/>
    <xf numFmtId="3" fontId="0" fillId="0" borderId="0" xfId="0" applyNumberFormat="1"/>
    <xf numFmtId="0" fontId="0" fillId="0" borderId="12" xfId="0" applyBorder="1"/>
    <xf numFmtId="0" fontId="0" fillId="0" borderId="0" xfId="0" applyBorder="1"/>
    <xf numFmtId="0" fontId="0" fillId="0" borderId="13" xfId="0" applyBorder="1"/>
    <xf numFmtId="0" fontId="0" fillId="0" borderId="11" xfId="0" applyBorder="1"/>
    <xf numFmtId="0" fontId="0" fillId="0" borderId="14" xfId="0" applyBorder="1"/>
    <xf numFmtId="0" fontId="0" fillId="0" borderId="15" xfId="0" applyBorder="1"/>
    <xf numFmtId="3" fontId="0" fillId="0" borderId="0" xfId="0" applyNumberFormat="1" applyFill="1"/>
    <xf numFmtId="3" fontId="1" fillId="0" borderId="0" xfId="0" applyNumberFormat="1" applyFont="1" applyFill="1" applyBorder="1" applyAlignment="1">
      <alignment vertical="center"/>
    </xf>
    <xf numFmtId="1" fontId="0" fillId="0" borderId="0" xfId="0" applyNumberFormat="1"/>
    <xf numFmtId="0" fontId="0" fillId="0" borderId="0" xfId="0" applyAlignment="1">
      <alignment wrapText="1"/>
    </xf>
    <xf numFmtId="0" fontId="0" fillId="0" borderId="0" xfId="0" applyAlignment="1">
      <alignment vertical="center"/>
    </xf>
    <xf numFmtId="0" fontId="0" fillId="2" borderId="9" xfId="0" applyFill="1" applyBorder="1" applyAlignment="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3" borderId="9" xfId="0" applyFill="1" applyBorder="1" applyAlignment="1">
      <alignment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0" borderId="18" xfId="0" applyBorder="1"/>
    <xf numFmtId="49" fontId="0" fillId="0" borderId="18" xfId="0" applyNumberFormat="1" applyBorder="1"/>
    <xf numFmtId="0" fontId="0" fillId="0" borderId="19" xfId="0" applyFill="1" applyBorder="1"/>
    <xf numFmtId="2" fontId="0" fillId="0" borderId="0" xfId="0" applyNumberFormat="1"/>
    <xf numFmtId="0" fontId="0" fillId="0" borderId="0" xfId="0" applyBorder="1" applyProtection="1">
      <protection hidden="1"/>
    </xf>
    <xf numFmtId="49" fontId="0" fillId="0" borderId="0" xfId="0" applyNumberFormat="1" applyBorder="1"/>
    <xf numFmtId="0" fontId="0" fillId="0" borderId="0" xfId="0" applyAlignment="1">
      <alignment horizontal="right"/>
    </xf>
    <xf numFmtId="167" fontId="22" fillId="0" borderId="7" xfId="0" applyNumberFormat="1" applyFont="1" applyFill="1" applyBorder="1" applyAlignment="1">
      <alignment horizontal="center" vertical="center"/>
    </xf>
    <xf numFmtId="2" fontId="0" fillId="0" borderId="18" xfId="0" applyNumberFormat="1" applyBorder="1"/>
    <xf numFmtId="0" fontId="38" fillId="0" borderId="1" xfId="0" applyFont="1" applyBorder="1" applyAlignment="1" applyProtection="1">
      <alignment horizontal="center" vertical="center"/>
      <protection hidden="1"/>
    </xf>
    <xf numFmtId="0" fontId="15" fillId="0" borderId="11" xfId="0" applyFont="1" applyFill="1" applyBorder="1" applyAlignment="1" applyProtection="1">
      <alignment horizontal="center" vertical="top" wrapText="1"/>
      <protection hidden="1"/>
    </xf>
    <xf numFmtId="0" fontId="0" fillId="0" borderId="14" xfId="0" applyBorder="1" applyAlignment="1">
      <alignment horizontal="center" wrapText="1"/>
    </xf>
    <xf numFmtId="3" fontId="1" fillId="0" borderId="20" xfId="0" applyNumberFormat="1" applyFont="1" applyFill="1" applyBorder="1" applyAlignment="1" applyProtection="1">
      <alignment vertical="center"/>
      <protection locked="0"/>
    </xf>
    <xf numFmtId="3" fontId="1" fillId="4" borderId="20" xfId="0" applyNumberFormat="1" applyFont="1" applyFill="1" applyBorder="1" applyAlignment="1" applyProtection="1">
      <alignment vertical="center"/>
      <protection hidden="1"/>
    </xf>
    <xf numFmtId="3" fontId="1" fillId="4" borderId="21" xfId="0" applyNumberFormat="1" applyFont="1" applyFill="1" applyBorder="1" applyAlignment="1" applyProtection="1">
      <alignment vertical="center"/>
      <protection hidden="1"/>
    </xf>
    <xf numFmtId="3" fontId="1" fillId="0" borderId="22" xfId="0" applyNumberFormat="1" applyFont="1" applyFill="1" applyBorder="1" applyAlignment="1" applyProtection="1">
      <alignment vertical="center"/>
      <protection locked="0"/>
    </xf>
    <xf numFmtId="0" fontId="15" fillId="0" borderId="11" xfId="0" applyFont="1" applyFill="1" applyBorder="1" applyAlignment="1">
      <alignment horizontal="center" vertical="top" wrapText="1"/>
    </xf>
    <xf numFmtId="0" fontId="14" fillId="0" borderId="14" xfId="0" applyFont="1" applyBorder="1" applyAlignment="1">
      <alignment horizontal="center" vertical="top" wrapText="1"/>
    </xf>
    <xf numFmtId="3" fontId="1" fillId="0" borderId="23" xfId="0" applyNumberFormat="1" applyFont="1" applyFill="1" applyBorder="1" applyAlignment="1" applyProtection="1">
      <alignment vertical="center"/>
      <protection locked="0"/>
    </xf>
    <xf numFmtId="3" fontId="1" fillId="0" borderId="21" xfId="0" applyNumberFormat="1" applyFont="1" applyFill="1" applyBorder="1" applyAlignment="1" applyProtection="1">
      <alignment vertical="center"/>
      <protection locked="0"/>
    </xf>
    <xf numFmtId="3" fontId="1" fillId="0" borderId="7" xfId="0" applyNumberFormat="1" applyFont="1" applyFill="1" applyBorder="1" applyAlignment="1" applyProtection="1">
      <alignment vertical="center"/>
      <protection locked="0"/>
    </xf>
    <xf numFmtId="3" fontId="1" fillId="4" borderId="2" xfId="0" applyNumberFormat="1" applyFont="1" applyFill="1" applyBorder="1" applyAlignment="1" applyProtection="1">
      <alignment vertical="center"/>
      <protection hidden="1"/>
    </xf>
    <xf numFmtId="3" fontId="1" fillId="0" borderId="2" xfId="0" applyNumberFormat="1" applyFont="1" applyFill="1" applyBorder="1" applyAlignment="1" applyProtection="1">
      <alignment vertical="center"/>
      <protection locked="0"/>
    </xf>
    <xf numFmtId="3" fontId="1" fillId="0" borderId="24" xfId="0" applyNumberFormat="1" applyFont="1" applyFill="1" applyBorder="1" applyAlignment="1" applyProtection="1">
      <alignment vertical="center"/>
      <protection locked="0"/>
    </xf>
    <xf numFmtId="3" fontId="1" fillId="0" borderId="25" xfId="0" applyNumberFormat="1" applyFont="1" applyFill="1" applyBorder="1" applyAlignment="1" applyProtection="1">
      <alignment vertical="center"/>
      <protection locked="0"/>
    </xf>
    <xf numFmtId="3" fontId="1" fillId="0" borderId="8" xfId="0" applyNumberFormat="1" applyFont="1" applyFill="1" applyBorder="1" applyAlignment="1" applyProtection="1">
      <alignment vertical="center"/>
      <protection locked="0"/>
    </xf>
    <xf numFmtId="4" fontId="0" fillId="0" borderId="0" xfId="0" applyNumberFormat="1" applyAlignment="1">
      <alignment vertical="center"/>
    </xf>
    <xf numFmtId="3" fontId="0" fillId="0" borderId="0" xfId="0" applyNumberFormat="1" applyAlignment="1">
      <alignment vertical="center"/>
    </xf>
    <xf numFmtId="49" fontId="0" fillId="0" borderId="0" xfId="0" applyNumberFormat="1" applyAlignment="1">
      <alignment vertical="center"/>
    </xf>
    <xf numFmtId="1" fontId="0" fillId="0" borderId="0" xfId="0" applyNumberFormat="1" applyAlignment="1">
      <alignment vertical="center"/>
    </xf>
    <xf numFmtId="0" fontId="15" fillId="0" borderId="0" xfId="0" applyFont="1" applyFill="1" applyBorder="1" applyAlignment="1" applyProtection="1">
      <alignment horizontal="center" vertical="top" wrapText="1"/>
      <protection hidden="1"/>
    </xf>
    <xf numFmtId="0" fontId="1" fillId="0" borderId="12" xfId="0" applyFont="1" applyFill="1" applyBorder="1" applyAlignment="1">
      <alignment vertical="center"/>
    </xf>
    <xf numFmtId="0" fontId="14" fillId="0" borderId="0" xfId="0" applyFont="1" applyFill="1" applyBorder="1" applyAlignment="1" applyProtection="1">
      <alignment horizontal="center" vertical="top" wrapText="1"/>
      <protection hidden="1"/>
    </xf>
    <xf numFmtId="0" fontId="16" fillId="0" borderId="0" xfId="0" applyFont="1" applyFill="1" applyBorder="1" applyAlignment="1" applyProtection="1">
      <alignment horizontal="center" vertical="center" wrapText="1"/>
      <protection hidden="1"/>
    </xf>
    <xf numFmtId="0" fontId="16" fillId="5" borderId="0" xfId="0" applyFont="1" applyFill="1" applyBorder="1" applyAlignment="1">
      <alignment horizontal="center" vertical="center" wrapText="1"/>
    </xf>
    <xf numFmtId="0" fontId="0" fillId="0" borderId="14" xfId="0" applyBorder="1" applyAlignment="1" applyProtection="1">
      <alignment horizontal="center" vertical="top" wrapText="1"/>
      <protection hidden="1"/>
    </xf>
    <xf numFmtId="0" fontId="1" fillId="0" borderId="0" xfId="0" applyFont="1" applyFill="1" applyBorder="1" applyAlignment="1" applyProtection="1">
      <alignment vertical="center"/>
      <protection hidden="1"/>
    </xf>
    <xf numFmtId="0" fontId="15" fillId="0" borderId="0" xfId="0" applyFont="1" applyFill="1" applyBorder="1" applyAlignment="1">
      <alignment horizontal="center" vertical="top" wrapText="1"/>
    </xf>
    <xf numFmtId="0" fontId="14" fillId="0" borderId="0" xfId="0" applyFont="1" applyBorder="1" applyAlignment="1">
      <alignment horizontal="center" vertical="top" wrapText="1"/>
    </xf>
    <xf numFmtId="3" fontId="1" fillId="4" borderId="8" xfId="0" applyNumberFormat="1" applyFont="1" applyFill="1" applyBorder="1" applyAlignment="1" applyProtection="1">
      <alignment vertical="center"/>
      <protection hidden="1"/>
    </xf>
    <xf numFmtId="0" fontId="15" fillId="0" borderId="12" xfId="0" applyFont="1" applyFill="1" applyBorder="1" applyAlignment="1">
      <alignment horizontal="center" vertical="top" wrapText="1"/>
    </xf>
    <xf numFmtId="0" fontId="0" fillId="0" borderId="0" xfId="0" applyBorder="1" applyAlignment="1">
      <alignment horizontal="center" wrapText="1"/>
    </xf>
    <xf numFmtId="0" fontId="15" fillId="0" borderId="14" xfId="0" applyFont="1" applyFill="1" applyBorder="1" applyAlignment="1">
      <alignment horizontal="center" vertical="top" wrapText="1"/>
    </xf>
    <xf numFmtId="1" fontId="0" fillId="0" borderId="18" xfId="0" applyNumberFormat="1" applyBorder="1"/>
    <xf numFmtId="1" fontId="0" fillId="0" borderId="12" xfId="0" applyNumberFormat="1" applyBorder="1"/>
    <xf numFmtId="1" fontId="0" fillId="0" borderId="13" xfId="0" applyNumberFormat="1" applyBorder="1"/>
    <xf numFmtId="1" fontId="0" fillId="0" borderId="0" xfId="0" applyNumberFormat="1" applyBorder="1"/>
    <xf numFmtId="0" fontId="0" fillId="0" borderId="0" xfId="0" applyAlignment="1">
      <alignment vertical="top" wrapText="1"/>
    </xf>
    <xf numFmtId="3" fontId="1" fillId="4" borderId="23" xfId="0" applyNumberFormat="1" applyFont="1" applyFill="1" applyBorder="1" applyAlignment="1" applyProtection="1">
      <alignment vertical="center"/>
      <protection hidden="1"/>
    </xf>
    <xf numFmtId="3" fontId="1" fillId="4" borderId="7" xfId="0" applyNumberFormat="1" applyFont="1" applyFill="1" applyBorder="1" applyAlignment="1" applyProtection="1">
      <alignment vertical="center"/>
      <protection hidden="1"/>
    </xf>
    <xf numFmtId="0" fontId="0" fillId="0" borderId="0" xfId="0" applyAlignment="1"/>
    <xf numFmtId="0" fontId="25" fillId="0" borderId="26" xfId="3" applyFont="1" applyBorder="1" applyAlignment="1">
      <alignment horizontal="left" vertical="center"/>
    </xf>
    <xf numFmtId="0" fontId="25" fillId="0" borderId="27" xfId="3" applyFont="1" applyBorder="1" applyAlignment="1">
      <alignment horizontal="left" vertical="center"/>
    </xf>
    <xf numFmtId="0" fontId="35" fillId="6" borderId="28" xfId="3" applyFont="1" applyFill="1" applyBorder="1" applyAlignment="1">
      <alignment horizontal="center" vertical="center" wrapText="1"/>
    </xf>
    <xf numFmtId="0" fontId="35" fillId="6" borderId="29" xfId="3" applyFont="1" applyFill="1" applyBorder="1" applyAlignment="1">
      <alignment horizontal="center" vertical="center" wrapText="1"/>
    </xf>
    <xf numFmtId="0" fontId="42" fillId="0" borderId="30" xfId="3" applyFont="1" applyBorder="1" applyAlignment="1">
      <alignment horizontal="center" vertical="center"/>
    </xf>
    <xf numFmtId="0" fontId="42" fillId="0" borderId="5" xfId="3" applyFont="1" applyBorder="1" applyAlignment="1">
      <alignment horizontal="center" vertical="center"/>
    </xf>
    <xf numFmtId="0" fontId="43" fillId="0" borderId="5" xfId="3" applyFont="1" applyBorder="1" applyAlignment="1">
      <alignment horizontal="center" vertical="center"/>
    </xf>
    <xf numFmtId="0" fontId="43" fillId="0" borderId="26" xfId="3" applyFont="1" applyBorder="1" applyAlignment="1">
      <alignment horizontal="left" vertical="center"/>
    </xf>
    <xf numFmtId="0" fontId="43" fillId="0" borderId="6" xfId="3" applyFont="1" applyBorder="1" applyAlignment="1">
      <alignment horizontal="center" vertical="center"/>
    </xf>
    <xf numFmtId="0" fontId="42" fillId="0" borderId="31" xfId="3" applyFont="1" applyBorder="1" applyAlignment="1">
      <alignment horizontal="left" vertical="center"/>
    </xf>
    <xf numFmtId="0" fontId="42" fillId="0" borderId="26" xfId="3" applyFont="1" applyBorder="1" applyAlignment="1">
      <alignment horizontal="left" vertical="center"/>
    </xf>
    <xf numFmtId="0" fontId="43" fillId="0" borderId="30"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0" fillId="7" borderId="28" xfId="0" applyFont="1" applyFill="1" applyBorder="1" applyAlignment="1" applyProtection="1">
      <alignment horizontal="center" vertical="center" wrapText="1"/>
      <protection hidden="1"/>
    </xf>
    <xf numFmtId="0" fontId="0" fillId="0" borderId="0" xfId="0" applyAlignment="1">
      <alignment vertical="center"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xf numFmtId="0" fontId="0" fillId="0" borderId="0" xfId="0" applyProtection="1">
      <protection hidden="1"/>
    </xf>
    <xf numFmtId="0" fontId="12" fillId="0" borderId="7"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30"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44" fillId="8" borderId="32" xfId="1" applyFont="1" applyFill="1" applyBorder="1" applyAlignment="1" applyProtection="1">
      <alignment horizontal="center" vertical="center" shrinkToFit="1"/>
    </xf>
    <xf numFmtId="0" fontId="44" fillId="8" borderId="33" xfId="1" applyFont="1" applyFill="1" applyBorder="1" applyAlignment="1" applyProtection="1">
      <alignment horizontal="center" vertical="center" shrinkToFit="1"/>
    </xf>
    <xf numFmtId="0" fontId="40" fillId="8" borderId="34" xfId="1" applyFont="1" applyFill="1" applyBorder="1" applyAlignment="1" applyProtection="1">
      <alignment horizontal="center" vertical="center" shrinkToFit="1"/>
    </xf>
    <xf numFmtId="0" fontId="44" fillId="8" borderId="35" xfId="1" applyFont="1" applyFill="1" applyBorder="1" applyAlignment="1" applyProtection="1">
      <alignment horizontal="center" vertical="center" shrinkToFit="1"/>
    </xf>
    <xf numFmtId="0" fontId="40" fillId="8" borderId="36" xfId="1" applyFont="1" applyFill="1" applyBorder="1" applyAlignment="1" applyProtection="1">
      <alignment horizontal="center" vertical="center" shrinkToFit="1"/>
    </xf>
    <xf numFmtId="0" fontId="40" fillId="8" borderId="37" xfId="1" applyFont="1" applyFill="1" applyBorder="1" applyAlignment="1" applyProtection="1">
      <alignment horizontal="center" vertical="center" shrinkToFit="1"/>
    </xf>
    <xf numFmtId="0" fontId="35" fillId="8" borderId="37" xfId="1" applyFont="1" applyFill="1" applyBorder="1" applyAlignment="1" applyProtection="1">
      <alignment horizontal="center" vertical="center" shrinkToFit="1"/>
    </xf>
    <xf numFmtId="0" fontId="39" fillId="6" borderId="38" xfId="0" applyFont="1" applyFill="1" applyBorder="1" applyAlignment="1">
      <alignment horizontal="center" vertical="center"/>
    </xf>
    <xf numFmtId="0" fontId="39" fillId="6" borderId="39" xfId="0" applyFont="1" applyFill="1" applyBorder="1" applyAlignment="1">
      <alignment horizontal="center" vertical="center"/>
    </xf>
    <xf numFmtId="0" fontId="40" fillId="6" borderId="38" xfId="0" applyFont="1" applyFill="1" applyBorder="1" applyAlignment="1">
      <alignment horizontal="center" vertical="center" wrapText="1"/>
    </xf>
    <xf numFmtId="0" fontId="39" fillId="6" borderId="38" xfId="0" applyFont="1" applyFill="1" applyBorder="1" applyAlignment="1">
      <alignment horizontal="center" vertical="center" wrapText="1"/>
    </xf>
    <xf numFmtId="0" fontId="39" fillId="6" borderId="40" xfId="0" applyFont="1" applyFill="1" applyBorder="1" applyAlignment="1">
      <alignment horizontal="center" vertical="center" wrapText="1"/>
    </xf>
    <xf numFmtId="0" fontId="39" fillId="6" borderId="40" xfId="0" applyFont="1" applyFill="1" applyBorder="1" applyAlignment="1">
      <alignment horizontal="center" vertical="center"/>
    </xf>
    <xf numFmtId="167" fontId="3" fillId="0" borderId="7" xfId="0" applyNumberFormat="1" applyFont="1" applyFill="1" applyBorder="1" applyAlignment="1">
      <alignment horizontal="center" vertical="center"/>
    </xf>
    <xf numFmtId="3" fontId="1" fillId="0" borderId="4" xfId="0" applyNumberFormat="1" applyFont="1" applyFill="1" applyBorder="1" applyAlignment="1" applyProtection="1">
      <alignment vertical="center"/>
      <protection locked="0"/>
    </xf>
    <xf numFmtId="0" fontId="40" fillId="6" borderId="38" xfId="0" applyFont="1" applyFill="1" applyBorder="1" applyAlignment="1" applyProtection="1">
      <alignment horizontal="center" vertical="center" wrapText="1"/>
      <protection hidden="1"/>
    </xf>
    <xf numFmtId="0" fontId="39" fillId="6" borderId="38" xfId="0" applyFont="1" applyFill="1" applyBorder="1" applyAlignment="1" applyProtection="1">
      <alignment horizontal="center" vertical="center" wrapText="1"/>
      <protection hidden="1"/>
    </xf>
    <xf numFmtId="0" fontId="39" fillId="6" borderId="40" xfId="0" applyFont="1" applyFill="1" applyBorder="1" applyAlignment="1" applyProtection="1">
      <alignment horizontal="center" vertical="center" wrapText="1"/>
      <protection hidden="1"/>
    </xf>
    <xf numFmtId="0" fontId="39" fillId="6" borderId="40" xfId="0" applyFont="1" applyFill="1" applyBorder="1" applyAlignment="1" applyProtection="1">
      <alignment horizontal="center" vertical="center"/>
      <protection hidden="1"/>
    </xf>
    <xf numFmtId="0" fontId="39" fillId="6" borderId="41" xfId="0" applyFont="1" applyFill="1" applyBorder="1" applyAlignment="1" applyProtection="1">
      <alignment horizontal="center" vertical="center" wrapText="1"/>
      <protection hidden="1"/>
    </xf>
    <xf numFmtId="0" fontId="38" fillId="0" borderId="1" xfId="0" applyFont="1" applyBorder="1" applyAlignment="1" applyProtection="1">
      <alignment horizontal="center" vertical="center"/>
      <protection locked="0" hidden="1"/>
    </xf>
    <xf numFmtId="0" fontId="47" fillId="8" borderId="32" xfId="1" applyFont="1" applyFill="1" applyBorder="1" applyAlignment="1" applyProtection="1">
      <alignment horizontal="center" vertical="center" shrinkToFit="1"/>
    </xf>
    <xf numFmtId="0" fontId="35" fillId="6" borderId="18" xfId="0" applyFont="1" applyFill="1" applyBorder="1" applyAlignment="1" applyProtection="1">
      <alignment horizontal="right" vertical="center"/>
      <protection hidden="1"/>
    </xf>
    <xf numFmtId="0" fontId="3" fillId="9" borderId="9" xfId="0" applyFont="1" applyFill="1" applyBorder="1" applyAlignment="1" applyProtection="1">
      <alignment horizontal="center" vertical="center" wrapText="1"/>
      <protection hidden="1"/>
    </xf>
    <xf numFmtId="0" fontId="2" fillId="0" borderId="0" xfId="0" applyFont="1" applyBorder="1" applyAlignment="1" applyProtection="1">
      <alignment vertical="top"/>
      <protection hidden="1"/>
    </xf>
    <xf numFmtId="0" fontId="26" fillId="0" borderId="0" xfId="0" applyFont="1" applyFill="1" applyBorder="1" applyAlignment="1" applyProtection="1">
      <alignment vertical="center"/>
      <protection hidden="1"/>
    </xf>
    <xf numFmtId="0" fontId="0" fillId="9" borderId="0" xfId="0" applyFill="1" applyAlignment="1">
      <alignment wrapText="1"/>
    </xf>
    <xf numFmtId="3" fontId="0" fillId="10" borderId="0" xfId="0" applyNumberFormat="1" applyFill="1" applyAlignment="1">
      <alignment wrapText="1"/>
    </xf>
    <xf numFmtId="3" fontId="0" fillId="0" borderId="0" xfId="0" applyNumberFormat="1" applyFill="1" applyAlignment="1">
      <alignment wrapText="1"/>
    </xf>
    <xf numFmtId="1" fontId="0" fillId="0" borderId="0" xfId="0" applyNumberFormat="1" applyAlignment="1">
      <alignment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3" borderId="0" xfId="0" applyFill="1" applyAlignment="1">
      <alignment horizontal="center" vertical="center" wrapText="1"/>
    </xf>
    <xf numFmtId="0" fontId="16" fillId="0" borderId="0" xfId="0" applyFont="1" applyAlignment="1">
      <alignment wrapText="1"/>
    </xf>
    <xf numFmtId="3" fontId="0" fillId="0" borderId="0" xfId="0" applyNumberFormat="1" applyAlignment="1">
      <alignment wrapText="1"/>
    </xf>
    <xf numFmtId="49" fontId="39" fillId="6" borderId="40" xfId="0" applyNumberFormat="1" applyFont="1" applyFill="1" applyBorder="1" applyAlignment="1">
      <alignment horizontal="center" vertical="center" wrapText="1"/>
    </xf>
    <xf numFmtId="49" fontId="39" fillId="6" borderId="40" xfId="0" applyNumberFormat="1" applyFont="1" applyFill="1" applyBorder="1" applyAlignment="1">
      <alignment horizontal="center" vertical="center"/>
    </xf>
    <xf numFmtId="49" fontId="39" fillId="6" borderId="40" xfId="0" applyNumberFormat="1" applyFont="1" applyFill="1" applyBorder="1" applyAlignment="1" applyProtection="1">
      <alignment horizontal="center" vertical="center"/>
      <protection hidden="1"/>
    </xf>
    <xf numFmtId="1" fontId="26" fillId="0" borderId="0" xfId="0" applyNumberFormat="1" applyFont="1" applyFill="1" applyBorder="1" applyAlignment="1" applyProtection="1">
      <alignment vertical="center"/>
      <protection hidden="1"/>
    </xf>
    <xf numFmtId="49" fontId="3" fillId="0" borderId="20" xfId="0" applyNumberFormat="1" applyFont="1" applyFill="1" applyBorder="1" applyAlignment="1" applyProtection="1">
      <alignment horizontal="center" vertical="center"/>
      <protection locked="0" hidden="1"/>
    </xf>
    <xf numFmtId="49" fontId="3" fillId="0" borderId="21" xfId="0" applyNumberFormat="1" applyFont="1" applyFill="1" applyBorder="1" applyAlignment="1" applyProtection="1">
      <alignment horizontal="center" vertical="center"/>
      <protection locked="0" hidden="1"/>
    </xf>
    <xf numFmtId="49" fontId="3" fillId="0" borderId="20" xfId="0" applyNumberFormat="1" applyFont="1" applyFill="1" applyBorder="1" applyAlignment="1" applyProtection="1">
      <alignment horizontal="center" vertical="center"/>
      <protection locked="0"/>
    </xf>
    <xf numFmtId="49" fontId="22" fillId="0" borderId="23" xfId="0" applyNumberFormat="1" applyFont="1" applyFill="1" applyBorder="1" applyAlignment="1" applyProtection="1">
      <alignment horizontal="center" vertical="center"/>
      <protection locked="0" hidden="1"/>
    </xf>
    <xf numFmtId="49" fontId="22" fillId="0" borderId="21" xfId="0" applyNumberFormat="1" applyFont="1" applyFill="1" applyBorder="1" applyAlignment="1" applyProtection="1">
      <alignment horizontal="center" vertical="center"/>
      <protection locked="0" hidden="1"/>
    </xf>
    <xf numFmtId="0" fontId="0" fillId="0" borderId="0" xfId="0" applyAlignment="1" applyProtection="1">
      <alignment wrapText="1"/>
      <protection hidden="1"/>
    </xf>
    <xf numFmtId="0" fontId="11" fillId="0" borderId="42" xfId="0" applyFont="1" applyFill="1" applyBorder="1" applyAlignment="1" applyProtection="1">
      <alignment horizontal="center" vertical="center" wrapText="1"/>
      <protection hidden="1"/>
    </xf>
    <xf numFmtId="0" fontId="26" fillId="0" borderId="43" xfId="0" applyFont="1" applyFill="1" applyBorder="1" applyAlignment="1" applyProtection="1">
      <alignment horizontal="center" vertical="center"/>
      <protection hidden="1"/>
    </xf>
    <xf numFmtId="0" fontId="26" fillId="0" borderId="43"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wrapText="1"/>
      <protection hidden="1"/>
    </xf>
    <xf numFmtId="0" fontId="12" fillId="0" borderId="12"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right" vertical="center"/>
      <protection hidden="1"/>
    </xf>
    <xf numFmtId="0" fontId="0" fillId="0" borderId="0" xfId="0" applyAlignment="1" applyProtection="1">
      <alignment horizontal="right"/>
      <protection hidden="1"/>
    </xf>
    <xf numFmtId="0" fontId="1" fillId="0" borderId="0" xfId="0" applyFont="1" applyFill="1" applyBorder="1" applyAlignment="1" applyProtection="1">
      <alignment horizontal="center" vertical="center"/>
      <protection hidden="1"/>
    </xf>
    <xf numFmtId="0" fontId="0" fillId="0" borderId="14" xfId="0" applyBorder="1" applyAlignment="1" applyProtection="1">
      <alignment horizontal="right"/>
      <protection hidden="1"/>
    </xf>
    <xf numFmtId="0" fontId="6" fillId="0" borderId="14" xfId="0" applyFont="1" applyBorder="1" applyAlignment="1" applyProtection="1">
      <alignment horizontal="right"/>
      <protection hidden="1"/>
    </xf>
    <xf numFmtId="0" fontId="6" fillId="0" borderId="14" xfId="0" applyFont="1" applyBorder="1" applyProtection="1">
      <protection hidden="1"/>
    </xf>
    <xf numFmtId="0" fontId="6" fillId="0" borderId="14" xfId="0" applyFont="1" applyBorder="1" applyAlignment="1" applyProtection="1">
      <alignment horizontal="left"/>
      <protection hidden="1"/>
    </xf>
    <xf numFmtId="0" fontId="0" fillId="0" borderId="14" xfId="0" applyBorder="1" applyProtection="1">
      <protection hidden="1"/>
    </xf>
    <xf numFmtId="0" fontId="6" fillId="0" borderId="0" xfId="0" applyFont="1" applyAlignment="1" applyProtection="1">
      <alignment horizontal="right"/>
      <protection hidden="1"/>
    </xf>
    <xf numFmtId="0" fontId="6" fillId="0" borderId="0" xfId="0" applyFont="1" applyBorder="1" applyProtection="1">
      <protection hidden="1"/>
    </xf>
    <xf numFmtId="0" fontId="6" fillId="0" borderId="0" xfId="0" applyFont="1" applyAlignment="1" applyProtection="1">
      <alignment horizontal="left"/>
      <protection hidden="1"/>
    </xf>
    <xf numFmtId="0" fontId="49" fillId="0" borderId="0" xfId="0" applyFont="1" applyAlignment="1" applyProtection="1">
      <alignment vertical="top"/>
      <protection hidden="1"/>
    </xf>
    <xf numFmtId="0" fontId="48" fillId="0" borderId="0" xfId="0" applyFont="1" applyAlignment="1" applyProtection="1">
      <alignment vertical="top"/>
      <protection hidden="1"/>
    </xf>
    <xf numFmtId="0" fontId="0" fillId="0" borderId="0" xfId="0" applyAlignment="1" applyProtection="1">
      <protection hidden="1"/>
    </xf>
    <xf numFmtId="0" fontId="36" fillId="0" borderId="0" xfId="0" applyFont="1" applyBorder="1" applyAlignment="1" applyProtection="1">
      <alignment horizontal="right" vertical="center" wrapText="1"/>
      <protection hidden="1"/>
    </xf>
    <xf numFmtId="0" fontId="52" fillId="0" borderId="0" xfId="0" applyFont="1" applyAlignment="1" applyProtection="1">
      <alignment horizontal="right"/>
      <protection hidden="1"/>
    </xf>
    <xf numFmtId="0" fontId="0" fillId="0" borderId="0" xfId="0" applyNumberFormat="1" applyBorder="1" applyProtection="1">
      <protection hidden="1"/>
    </xf>
    <xf numFmtId="0" fontId="6" fillId="0" borderId="0" xfId="0" applyFont="1" applyBorder="1" applyAlignment="1" applyProtection="1">
      <alignment horizontal="right"/>
      <protection hidden="1"/>
    </xf>
    <xf numFmtId="0" fontId="2" fillId="0" borderId="0" xfId="0" applyFont="1" applyAlignment="1" applyProtection="1">
      <alignment horizontal="right" vertical="center"/>
      <protection hidden="1"/>
    </xf>
    <xf numFmtId="0" fontId="0" fillId="0" borderId="0" xfId="0" applyBorder="1" applyAlignment="1" applyProtection="1">
      <alignment horizontal="left"/>
      <protection hidden="1"/>
    </xf>
    <xf numFmtId="0" fontId="9" fillId="0" borderId="0" xfId="0" applyFont="1" applyBorder="1" applyAlignment="1" applyProtection="1">
      <alignment vertical="top"/>
      <protection hidden="1"/>
    </xf>
    <xf numFmtId="1" fontId="15" fillId="0" borderId="44" xfId="0" applyNumberFormat="1" applyFont="1" applyFill="1" applyBorder="1" applyAlignment="1" applyProtection="1">
      <alignment horizontal="center" vertical="center"/>
      <protection hidden="1"/>
    </xf>
    <xf numFmtId="0" fontId="0" fillId="0" borderId="12" xfId="0" applyBorder="1" applyProtection="1">
      <protection hidden="1"/>
    </xf>
    <xf numFmtId="0" fontId="0" fillId="0" borderId="0" xfId="0" applyAlignment="1" applyProtection="1">
      <alignment horizontal="right" vertical="top" wrapText="1"/>
      <protection hidden="1"/>
    </xf>
    <xf numFmtId="0" fontId="9" fillId="0" borderId="0" xfId="0" applyFont="1" applyBorder="1" applyAlignment="1" applyProtection="1">
      <alignment horizontal="left" vertical="top"/>
      <protection hidden="1"/>
    </xf>
    <xf numFmtId="0" fontId="0" fillId="0" borderId="0" xfId="0" applyBorder="1" applyAlignment="1" applyProtection="1">
      <alignment horizontal="center"/>
      <protection hidden="1"/>
    </xf>
    <xf numFmtId="0" fontId="0" fillId="0" borderId="19" xfId="0" applyBorder="1" applyProtection="1">
      <protection hidden="1"/>
    </xf>
    <xf numFmtId="0" fontId="0" fillId="0" borderId="0" xfId="0" applyBorder="1" applyAlignment="1" applyProtection="1">
      <alignment horizontal="right" vertical="top"/>
      <protection hidden="1"/>
    </xf>
    <xf numFmtId="0" fontId="0" fillId="0" borderId="43" xfId="0" applyBorder="1" applyProtection="1">
      <protection hidden="1"/>
    </xf>
    <xf numFmtId="0" fontId="12" fillId="0" borderId="0" xfId="0" applyFont="1" applyBorder="1" applyAlignment="1" applyProtection="1">
      <alignment horizontal="right" vertical="center"/>
      <protection hidden="1"/>
    </xf>
    <xf numFmtId="0" fontId="9" fillId="0" borderId="0" xfId="0" applyFont="1" applyAlignment="1" applyProtection="1">
      <alignment vertical="top"/>
      <protection hidden="1"/>
    </xf>
    <xf numFmtId="49" fontId="15" fillId="0" borderId="0" xfId="0" applyNumberFormat="1" applyFont="1" applyFill="1" applyBorder="1" applyAlignment="1" applyProtection="1">
      <alignment horizontal="left" vertical="center"/>
      <protection locked="0" hidden="1"/>
    </xf>
    <xf numFmtId="0" fontId="0" fillId="0" borderId="0" xfId="0" applyAlignment="1" applyProtection="1">
      <alignment horizontal="left"/>
      <protection hidden="1"/>
    </xf>
    <xf numFmtId="0" fontId="2"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50" fillId="0" borderId="0" xfId="0" applyFont="1" applyAlignment="1" applyProtection="1">
      <alignment vertical="center"/>
      <protection hidden="1"/>
    </xf>
    <xf numFmtId="0" fontId="15" fillId="4" borderId="44" xfId="0" applyFont="1" applyFill="1" applyBorder="1" applyAlignment="1" applyProtection="1">
      <alignment horizontal="center" vertical="center"/>
      <protection locked="0"/>
    </xf>
    <xf numFmtId="1" fontId="36" fillId="4" borderId="44" xfId="0" applyNumberFormat="1" applyFont="1" applyFill="1" applyBorder="1" applyAlignment="1" applyProtection="1">
      <alignment horizontal="right" vertical="center" shrinkToFit="1"/>
      <protection locked="0"/>
    </xf>
    <xf numFmtId="3" fontId="15" fillId="4" borderId="44" xfId="0" applyNumberFormat="1" applyFont="1" applyFill="1" applyBorder="1" applyAlignment="1" applyProtection="1">
      <alignment horizontal="center" vertical="center"/>
      <protection locked="0"/>
    </xf>
    <xf numFmtId="1" fontId="15" fillId="4" borderId="44" xfId="0" applyNumberFormat="1" applyFont="1" applyFill="1" applyBorder="1" applyAlignment="1" applyProtection="1">
      <alignment horizontal="center" vertical="center"/>
      <protection locked="0"/>
    </xf>
    <xf numFmtId="49" fontId="15" fillId="4" borderId="44" xfId="0" applyNumberFormat="1" applyFont="1" applyFill="1" applyBorder="1" applyAlignment="1" applyProtection="1">
      <alignment horizontal="center" vertical="center"/>
      <protection locked="0"/>
    </xf>
    <xf numFmtId="0" fontId="15" fillId="4" borderId="44" xfId="0" applyFont="1" applyFill="1" applyBorder="1" applyAlignment="1" applyProtection="1">
      <alignment horizontal="right" vertical="center"/>
      <protection locked="0"/>
    </xf>
    <xf numFmtId="0" fontId="15" fillId="4" borderId="11" xfId="0" applyFont="1" applyFill="1" applyBorder="1" applyAlignment="1" applyProtection="1">
      <alignment horizontal="right" vertical="center"/>
      <protection locked="0"/>
    </xf>
    <xf numFmtId="2" fontId="0" fillId="0" borderId="0" xfId="0" applyNumberFormat="1" applyAlignment="1">
      <alignment vertical="center"/>
    </xf>
    <xf numFmtId="0" fontId="12" fillId="11" borderId="7" xfId="0" applyFont="1" applyFill="1" applyBorder="1" applyAlignment="1" applyProtection="1">
      <alignment horizontal="center" vertical="center"/>
      <protection hidden="1"/>
    </xf>
    <xf numFmtId="0" fontId="12" fillId="11" borderId="2" xfId="0" applyFont="1" applyFill="1" applyBorder="1" applyAlignment="1" applyProtection="1">
      <alignment horizontal="center" vertical="center"/>
      <protection hidden="1"/>
    </xf>
    <xf numFmtId="0" fontId="12" fillId="11" borderId="8" xfId="0" applyFont="1" applyFill="1" applyBorder="1" applyAlignment="1" applyProtection="1">
      <alignment horizontal="center" vertical="center"/>
      <protection hidden="1"/>
    </xf>
    <xf numFmtId="0" fontId="12" fillId="12" borderId="7" xfId="0" applyFont="1" applyFill="1" applyBorder="1" applyAlignment="1" applyProtection="1">
      <alignment horizontal="center" vertical="center"/>
      <protection hidden="1"/>
    </xf>
    <xf numFmtId="0" fontId="12" fillId="12" borderId="2" xfId="0" applyFont="1" applyFill="1" applyBorder="1" applyAlignment="1" applyProtection="1">
      <alignment horizontal="center" vertical="center"/>
      <protection hidden="1"/>
    </xf>
    <xf numFmtId="0" fontId="12" fillId="13" borderId="2" xfId="0" applyFont="1" applyFill="1" applyBorder="1" applyAlignment="1" applyProtection="1">
      <alignment horizontal="center" vertical="center"/>
      <protection hidden="1"/>
    </xf>
    <xf numFmtId="0" fontId="12" fillId="13" borderId="8" xfId="0" applyFont="1" applyFill="1" applyBorder="1" applyAlignment="1" applyProtection="1">
      <alignment horizontal="center" vertical="center"/>
      <protection hidden="1"/>
    </xf>
    <xf numFmtId="0" fontId="12" fillId="12" borderId="4" xfId="0" applyFont="1" applyFill="1" applyBorder="1" applyAlignment="1" applyProtection="1">
      <alignment horizontal="center" vertical="center"/>
      <protection hidden="1"/>
    </xf>
    <xf numFmtId="0" fontId="0" fillId="14" borderId="0" xfId="0" applyFill="1" applyAlignment="1">
      <alignment wrapText="1"/>
    </xf>
    <xf numFmtId="0" fontId="0" fillId="15" borderId="0" xfId="0" applyFill="1" applyAlignment="1">
      <alignment wrapText="1"/>
    </xf>
    <xf numFmtId="0" fontId="48" fillId="0" borderId="0" xfId="0" applyFont="1" applyAlignment="1">
      <alignment horizontal="center" vertical="center"/>
    </xf>
    <xf numFmtId="0" fontId="48" fillId="0" borderId="0" xfId="0" applyFont="1" applyAlignment="1">
      <alignment horizontal="center" vertical="center" wrapText="1"/>
    </xf>
    <xf numFmtId="0" fontId="48" fillId="0" borderId="0" xfId="0" applyFont="1" applyAlignment="1">
      <alignment horizontal="left" vertical="center"/>
    </xf>
    <xf numFmtId="9" fontId="56" fillId="0" borderId="45" xfId="2" applyNumberFormat="1" applyBorder="1" applyProtection="1">
      <protection locked="0"/>
    </xf>
    <xf numFmtId="9" fontId="56" fillId="0" borderId="10" xfId="2" applyNumberFormat="1" applyBorder="1" applyProtection="1">
      <protection locked="0"/>
    </xf>
    <xf numFmtId="3" fontId="1" fillId="0" borderId="20" xfId="2" applyNumberFormat="1" applyFont="1" applyFill="1" applyBorder="1" applyAlignment="1" applyProtection="1">
      <alignment vertical="center"/>
      <protection locked="0"/>
    </xf>
    <xf numFmtId="3" fontId="1" fillId="0" borderId="2" xfId="2" applyNumberFormat="1" applyFont="1" applyFill="1" applyBorder="1" applyAlignment="1" applyProtection="1">
      <alignment vertical="center"/>
      <protection locked="0"/>
    </xf>
    <xf numFmtId="3" fontId="1" fillId="16" borderId="2" xfId="0" applyNumberFormat="1" applyFont="1" applyFill="1" applyBorder="1" applyAlignment="1" applyProtection="1">
      <alignment vertical="center"/>
      <protection locked="0"/>
    </xf>
    <xf numFmtId="3" fontId="1" fillId="16" borderId="20" xfId="0" applyNumberFormat="1" applyFont="1" applyFill="1" applyBorder="1" applyAlignment="1" applyProtection="1">
      <alignment vertical="center"/>
      <protection locked="0"/>
    </xf>
    <xf numFmtId="0" fontId="15" fillId="4" borderId="11" xfId="0" applyFont="1" applyFill="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49" fontId="15" fillId="4" borderId="11" xfId="0" applyNumberFormat="1" applyFont="1" applyFill="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1" fontId="15" fillId="4" borderId="11" xfId="0" applyNumberFormat="1" applyFont="1" applyFill="1" applyBorder="1" applyAlignment="1" applyProtection="1">
      <alignment horizontal="center" vertical="center"/>
      <protection locked="0"/>
    </xf>
    <xf numFmtId="1" fontId="15" fillId="4" borderId="15" xfId="0" applyNumberFormat="1" applyFont="1" applyFill="1" applyBorder="1" applyAlignment="1" applyProtection="1">
      <alignment horizontal="center" vertical="center"/>
      <protection locked="0"/>
    </xf>
    <xf numFmtId="0" fontId="55" fillId="0" borderId="0" xfId="0" applyNumberFormat="1" applyFont="1" applyFill="1" applyBorder="1" applyAlignment="1" applyProtection="1">
      <alignment vertical="center" wrapText="1"/>
      <protection hidden="1"/>
    </xf>
    <xf numFmtId="0" fontId="0" fillId="0" borderId="0" xfId="0" applyAlignment="1">
      <alignment vertical="center" wrapText="1"/>
    </xf>
    <xf numFmtId="0" fontId="2" fillId="0" borderId="0" xfId="0" applyFont="1" applyAlignment="1" applyProtection="1">
      <alignment horizontal="right" vertical="center"/>
      <protection hidden="1"/>
    </xf>
    <xf numFmtId="0" fontId="2" fillId="0" borderId="13" xfId="0" applyFont="1" applyBorder="1" applyAlignment="1" applyProtection="1">
      <alignment horizontal="right"/>
      <protection hidden="1"/>
    </xf>
    <xf numFmtId="0" fontId="15" fillId="4" borderId="11" xfId="0" applyFont="1" applyFill="1" applyBorder="1" applyAlignment="1" applyProtection="1">
      <protection locked="0"/>
    </xf>
    <xf numFmtId="0" fontId="15" fillId="0" borderId="14" xfId="0" applyFont="1" applyBorder="1" applyAlignment="1" applyProtection="1">
      <protection locked="0"/>
    </xf>
    <xf numFmtId="0" fontId="15" fillId="0" borderId="15" xfId="0" applyFont="1" applyBorder="1" applyAlignment="1" applyProtection="1">
      <protection locked="0"/>
    </xf>
    <xf numFmtId="0" fontId="34" fillId="0" borderId="0" xfId="0" applyFont="1" applyBorder="1" applyAlignment="1" applyProtection="1">
      <alignment vertical="top" wrapText="1"/>
      <protection hidden="1"/>
    </xf>
    <xf numFmtId="0" fontId="0" fillId="0" borderId="0" xfId="0" applyAlignment="1" applyProtection="1">
      <alignment wrapText="1"/>
      <protection hidden="1"/>
    </xf>
    <xf numFmtId="0" fontId="33" fillId="0" borderId="12" xfId="0" applyFont="1" applyBorder="1" applyAlignment="1" applyProtection="1">
      <alignment vertical="center"/>
      <protection hidden="1"/>
    </xf>
    <xf numFmtId="0" fontId="33" fillId="0" borderId="0" xfId="0" applyFont="1" applyBorder="1" applyAlignment="1" applyProtection="1">
      <alignment vertical="center"/>
      <protection hidden="1"/>
    </xf>
    <xf numFmtId="49" fontId="15" fillId="4" borderId="11" xfId="0" applyNumberFormat="1" applyFont="1" applyFill="1" applyBorder="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49" fontId="15" fillId="0" borderId="15" xfId="0" applyNumberFormat="1" applyFont="1" applyBorder="1" applyAlignment="1" applyProtection="1">
      <alignment horizontal="left" vertical="center"/>
      <protection locked="0"/>
    </xf>
    <xf numFmtId="0" fontId="9" fillId="0" borderId="43" xfId="0" applyFont="1" applyBorder="1" applyAlignment="1" applyProtection="1">
      <alignment horizontal="left" vertical="top"/>
      <protection hidden="1"/>
    </xf>
    <xf numFmtId="0" fontId="0" fillId="0" borderId="43" xfId="0" applyBorder="1" applyAlignment="1" applyProtection="1">
      <alignment horizontal="left"/>
      <protection hidden="1"/>
    </xf>
    <xf numFmtId="0" fontId="2" fillId="0" borderId="0" xfId="0" applyFont="1" applyAlignment="1" applyProtection="1">
      <alignment horizontal="right" vertical="top" wrapText="1"/>
      <protection hidden="1"/>
    </xf>
    <xf numFmtId="0" fontId="2" fillId="0" borderId="0" xfId="0" applyFont="1" applyBorder="1" applyAlignment="1" applyProtection="1">
      <alignment horizontal="right" vertical="top" wrapText="1"/>
      <protection hidden="1"/>
    </xf>
    <xf numFmtId="0" fontId="0" fillId="0" borderId="0" xfId="0" applyAlignment="1" applyProtection="1">
      <alignment horizontal="right" vertical="top" wrapText="1"/>
      <protection hidden="1"/>
    </xf>
    <xf numFmtId="0" fontId="1" fillId="0" borderId="0" xfId="0" applyFont="1" applyAlignment="1" applyProtection="1">
      <alignment horizontal="right" vertical="top" wrapText="1"/>
      <protection hidden="1"/>
    </xf>
    <xf numFmtId="0" fontId="1" fillId="0" borderId="0" xfId="0" applyFont="1" applyBorder="1" applyAlignment="1" applyProtection="1">
      <alignment horizontal="right" vertical="top" wrapText="1"/>
      <protection hidden="1"/>
    </xf>
    <xf numFmtId="0" fontId="9" fillId="0" borderId="0" xfId="0" applyFont="1" applyBorder="1" applyAlignment="1" applyProtection="1">
      <alignment horizontal="left" vertical="top"/>
      <protection hidden="1"/>
    </xf>
    <xf numFmtId="0" fontId="9" fillId="0" borderId="0" xfId="0" applyFont="1" applyBorder="1" applyAlignment="1" applyProtection="1">
      <alignment horizontal="left"/>
      <protection hidden="1"/>
    </xf>
    <xf numFmtId="0" fontId="2" fillId="0" borderId="0" xfId="0" applyFont="1" applyAlignment="1" applyProtection="1">
      <alignment horizontal="right" vertical="center" wrapText="1"/>
      <protection hidden="1"/>
    </xf>
    <xf numFmtId="0" fontId="2" fillId="0" borderId="13" xfId="0" applyFont="1" applyBorder="1" applyAlignment="1" applyProtection="1">
      <alignment horizontal="right" wrapText="1"/>
      <protection hidden="1"/>
    </xf>
    <xf numFmtId="0" fontId="33" fillId="0" borderId="0" xfId="0" applyFont="1" applyBorder="1" applyAlignment="1" applyProtection="1">
      <alignment vertical="top" wrapText="1"/>
      <protection hidden="1"/>
    </xf>
    <xf numFmtId="0" fontId="33" fillId="0" borderId="0" xfId="0" applyFont="1" applyAlignment="1" applyProtection="1">
      <alignment vertical="top" wrapText="1"/>
      <protection hidden="1"/>
    </xf>
    <xf numFmtId="0" fontId="33" fillId="0" borderId="0" xfId="0" applyFont="1" applyFill="1" applyBorder="1" applyAlignment="1" applyProtection="1">
      <alignment vertical="top" wrapText="1"/>
      <protection hidden="1"/>
    </xf>
    <xf numFmtId="0" fontId="0" fillId="0" borderId="0" xfId="0" applyAlignment="1" applyProtection="1">
      <alignment vertical="top" wrapText="1"/>
      <protection hidden="1"/>
    </xf>
    <xf numFmtId="4" fontId="35" fillId="18" borderId="11" xfId="0" applyNumberFormat="1" applyFont="1" applyFill="1" applyBorder="1" applyAlignment="1" applyProtection="1">
      <alignment horizontal="center" vertical="center"/>
      <protection hidden="1"/>
    </xf>
    <xf numFmtId="4" fontId="35" fillId="8" borderId="14" xfId="0" applyNumberFormat="1" applyFont="1" applyFill="1" applyBorder="1" applyAlignment="1" applyProtection="1">
      <alignment horizontal="center" vertical="center"/>
      <protection hidden="1"/>
    </xf>
    <xf numFmtId="4" fontId="35" fillId="8" borderId="15" xfId="0" applyNumberFormat="1" applyFont="1" applyFill="1" applyBorder="1" applyAlignment="1" applyProtection="1">
      <alignment horizontal="center" vertical="center"/>
      <protection hidden="1"/>
    </xf>
    <xf numFmtId="0" fontId="32" fillId="0" borderId="0" xfId="0" applyFont="1" applyBorder="1" applyAlignment="1" applyProtection="1">
      <alignment vertical="top" wrapText="1"/>
      <protection hidden="1"/>
    </xf>
    <xf numFmtId="0" fontId="3" fillId="0" borderId="0" xfId="0" applyFont="1" applyBorder="1" applyAlignment="1" applyProtection="1">
      <alignment horizontal="center" vertical="top" wrapText="1"/>
      <protection hidden="1"/>
    </xf>
    <xf numFmtId="0" fontId="2" fillId="0" borderId="0" xfId="0" applyFont="1" applyBorder="1" applyAlignment="1" applyProtection="1">
      <alignment horizontal="right" vertical="center" wrapText="1"/>
      <protection hidden="1"/>
    </xf>
    <xf numFmtId="0" fontId="0" fillId="0" borderId="13" xfId="0" applyBorder="1" applyAlignment="1" applyProtection="1">
      <alignment horizontal="right" wrapText="1"/>
      <protection hidden="1"/>
    </xf>
    <xf numFmtId="0" fontId="4" fillId="0" borderId="0" xfId="0" applyFont="1" applyBorder="1" applyAlignment="1" applyProtection="1">
      <alignment horizontal="right" vertical="center"/>
      <protection hidden="1"/>
    </xf>
    <xf numFmtId="0" fontId="4" fillId="0" borderId="13" xfId="0" applyFont="1" applyBorder="1" applyAlignment="1" applyProtection="1">
      <alignment horizontal="right" vertical="center"/>
      <protection hidden="1"/>
    </xf>
    <xf numFmtId="0" fontId="6" fillId="0" borderId="0" xfId="0" applyFont="1" applyBorder="1" applyAlignment="1" applyProtection="1">
      <protection hidden="1"/>
    </xf>
    <xf numFmtId="0" fontId="0" fillId="0" borderId="0" xfId="0" applyBorder="1" applyAlignment="1" applyProtection="1">
      <protection hidden="1"/>
    </xf>
    <xf numFmtId="0" fontId="12" fillId="0" borderId="43" xfId="0" applyFont="1" applyBorder="1" applyAlignment="1" applyProtection="1">
      <alignment horizontal="center" vertical="top"/>
      <protection hidden="1"/>
    </xf>
    <xf numFmtId="0" fontId="0" fillId="0" borderId="0" xfId="0" applyBorder="1" applyAlignment="1" applyProtection="1">
      <alignment horizontal="right" wrapText="1"/>
      <protection hidden="1"/>
    </xf>
    <xf numFmtId="0" fontId="0" fillId="0" borderId="0" xfId="0" applyAlignment="1" applyProtection="1">
      <alignment horizontal="right" wrapText="1"/>
      <protection hidden="1"/>
    </xf>
    <xf numFmtId="0" fontId="0" fillId="0" borderId="13" xfId="0" applyBorder="1" applyAlignment="1" applyProtection="1">
      <alignment horizontal="right"/>
      <protection hidden="1"/>
    </xf>
    <xf numFmtId="0" fontId="0" fillId="0" borderId="0" xfId="0" applyBorder="1" applyAlignment="1" applyProtection="1">
      <alignment horizontal="left" vertical="top" wrapText="1" indent="2"/>
      <protection hidden="1"/>
    </xf>
    <xf numFmtId="0" fontId="0" fillId="0" borderId="0" xfId="0" applyAlignment="1" applyProtection="1">
      <alignment horizontal="left" vertical="top" wrapText="1" indent="2"/>
      <protection hidden="1"/>
    </xf>
    <xf numFmtId="0" fontId="8" fillId="0" borderId="0" xfId="0" applyFont="1" applyAlignment="1" applyProtection="1">
      <alignment horizontal="right" vertical="center" wrapText="1"/>
      <protection hidden="1"/>
    </xf>
    <xf numFmtId="0" fontId="8" fillId="0" borderId="0" xfId="0" applyFont="1" applyAlignment="1" applyProtection="1">
      <alignment vertical="center" wrapText="1"/>
      <protection hidden="1"/>
    </xf>
    <xf numFmtId="0" fontId="8" fillId="0" borderId="13" xfId="0" applyFont="1" applyBorder="1" applyAlignment="1" applyProtection="1">
      <alignment vertical="center" wrapText="1"/>
      <protection hidden="1"/>
    </xf>
    <xf numFmtId="0" fontId="9" fillId="0" borderId="0" xfId="0" applyFont="1" applyBorder="1" applyAlignment="1" applyProtection="1">
      <alignment horizontal="center" vertical="top"/>
      <protection hidden="1"/>
    </xf>
    <xf numFmtId="0" fontId="0" fillId="0" borderId="0" xfId="0" applyBorder="1" applyAlignment="1" applyProtection="1">
      <alignment horizontal="center"/>
      <protection hidden="1"/>
    </xf>
    <xf numFmtId="0" fontId="9" fillId="0" borderId="43" xfId="0" applyFont="1" applyBorder="1" applyAlignment="1" applyProtection="1">
      <alignment horizontal="center" vertical="top"/>
      <protection hidden="1"/>
    </xf>
    <xf numFmtId="0" fontId="0" fillId="0" borderId="43" xfId="0" applyBorder="1" applyAlignment="1" applyProtection="1">
      <alignment horizontal="center"/>
      <protection hidden="1"/>
    </xf>
    <xf numFmtId="0" fontId="9" fillId="0" borderId="47" xfId="0" applyFont="1" applyBorder="1" applyAlignment="1" applyProtection="1">
      <alignment horizontal="center" vertical="top"/>
      <protection hidden="1"/>
    </xf>
    <xf numFmtId="0" fontId="0" fillId="0" borderId="47" xfId="0" applyBorder="1" applyAlignment="1" applyProtection="1">
      <protection hidden="1"/>
    </xf>
    <xf numFmtId="0" fontId="2" fillId="0" borderId="43" xfId="0" applyFont="1" applyBorder="1" applyAlignment="1" applyProtection="1">
      <alignment vertical="center"/>
      <protection hidden="1"/>
    </xf>
    <xf numFmtId="0" fontId="0" fillId="0" borderId="43" xfId="0" applyBorder="1" applyAlignment="1" applyProtection="1">
      <alignment vertical="center"/>
      <protection hidden="1"/>
    </xf>
    <xf numFmtId="0" fontId="1" fillId="0" borderId="0" xfId="0" applyFont="1" applyFill="1" applyBorder="1" applyAlignment="1" applyProtection="1">
      <alignment horizontal="left" vertical="center" wrapText="1" indent="1"/>
      <protection hidden="1"/>
    </xf>
    <xf numFmtId="0" fontId="0" fillId="0" borderId="0" xfId="0" applyBorder="1" applyAlignment="1" applyProtection="1">
      <alignment horizontal="left" vertical="center" wrapText="1" indent="1"/>
      <protection hidden="1"/>
    </xf>
    <xf numFmtId="0" fontId="11" fillId="17" borderId="9" xfId="0" applyFont="1" applyFill="1" applyBorder="1" applyAlignment="1" applyProtection="1">
      <alignment horizontal="left" vertical="center" wrapText="1"/>
      <protection hidden="1"/>
    </xf>
    <xf numFmtId="0" fontId="0" fillId="17" borderId="16" xfId="0" applyFill="1" applyBorder="1" applyAlignment="1" applyProtection="1">
      <alignment horizontal="left" vertical="center" wrapText="1"/>
      <protection hidden="1"/>
    </xf>
    <xf numFmtId="0" fontId="0" fillId="17" borderId="17" xfId="0" applyFill="1" applyBorder="1" applyAlignment="1" applyProtection="1">
      <alignment horizontal="left" vertical="center" wrapText="1"/>
      <protection hidden="1"/>
    </xf>
    <xf numFmtId="0" fontId="12" fillId="0" borderId="12" xfId="0" applyFont="1" applyFill="1" applyBorder="1" applyAlignment="1" applyProtection="1">
      <alignment horizontal="right" vertical="center" wrapText="1"/>
      <protection hidden="1"/>
    </xf>
    <xf numFmtId="0" fontId="12" fillId="0" borderId="0" xfId="0" applyFont="1" applyFill="1" applyBorder="1" applyAlignment="1" applyProtection="1">
      <alignment horizontal="right" vertical="center" wrapText="1"/>
      <protection hidden="1"/>
    </xf>
    <xf numFmtId="0" fontId="12" fillId="0" borderId="13" xfId="0" applyFont="1" applyFill="1" applyBorder="1" applyAlignment="1" applyProtection="1">
      <alignment horizontal="right" vertical="center" wrapText="1"/>
      <protection hidden="1"/>
    </xf>
    <xf numFmtId="0" fontId="16" fillId="0" borderId="0" xfId="0" applyFont="1" applyBorder="1" applyAlignment="1" applyProtection="1">
      <alignment vertical="top" wrapText="1"/>
      <protection hidden="1"/>
    </xf>
    <xf numFmtId="0" fontId="36" fillId="0" borderId="0"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protection hidden="1"/>
    </xf>
    <xf numFmtId="0" fontId="11" fillId="9" borderId="42"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15" xfId="0" applyFont="1" applyFill="1" applyBorder="1" applyAlignment="1">
      <alignment horizontal="center" vertical="center" wrapText="1"/>
    </xf>
    <xf numFmtId="14" fontId="15" fillId="4" borderId="11" xfId="0" applyNumberFormat="1" applyFont="1" applyFill="1" applyBorder="1" applyAlignment="1" applyProtection="1">
      <alignment horizontal="center" vertical="center"/>
      <protection locked="0"/>
    </xf>
    <xf numFmtId="14" fontId="0" fillId="4" borderId="15" xfId="0" applyNumberFormat="1" applyFill="1" applyBorder="1" applyAlignment="1" applyProtection="1">
      <alignment horizontal="center" vertical="center"/>
      <protection locked="0"/>
    </xf>
    <xf numFmtId="0" fontId="33" fillId="0" borderId="12" xfId="0" applyFont="1" applyFill="1" applyBorder="1" applyAlignment="1" applyProtection="1">
      <alignment horizontal="left" vertical="center"/>
      <protection hidden="1"/>
    </xf>
    <xf numFmtId="0" fontId="33" fillId="0" borderId="0" xfId="0" applyFont="1" applyAlignment="1" applyProtection="1">
      <alignment vertical="center"/>
      <protection hidden="1"/>
    </xf>
    <xf numFmtId="0" fontId="27" fillId="0" borderId="0" xfId="0" applyFont="1" applyBorder="1" applyAlignment="1" applyProtection="1">
      <alignment horizontal="right" vertical="center"/>
      <protection hidden="1"/>
    </xf>
    <xf numFmtId="0" fontId="0" fillId="0" borderId="0" xfId="0" applyAlignment="1" applyProtection="1">
      <alignment horizontal="right"/>
      <protection hidden="1"/>
    </xf>
    <xf numFmtId="0" fontId="52" fillId="0" borderId="0" xfId="0" applyFont="1" applyBorder="1" applyAlignment="1" applyProtection="1">
      <alignment horizontal="left" vertical="center"/>
      <protection hidden="1"/>
    </xf>
    <xf numFmtId="0" fontId="53" fillId="0" borderId="0" xfId="0" applyFont="1" applyAlignment="1" applyProtection="1">
      <protection hidden="1"/>
    </xf>
    <xf numFmtId="0" fontId="4" fillId="0" borderId="2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15" fillId="4" borderId="9" xfId="0" applyFont="1" applyFill="1" applyBorder="1" applyAlignment="1" applyProtection="1">
      <alignment vertical="center" wrapText="1"/>
      <protection hidden="1"/>
    </xf>
    <xf numFmtId="0" fontId="15" fillId="4" borderId="16" xfId="0" applyFont="1" applyFill="1" applyBorder="1" applyAlignment="1" applyProtection="1">
      <alignment vertical="center" wrapText="1"/>
      <protection hidden="1"/>
    </xf>
    <xf numFmtId="0" fontId="15" fillId="4" borderId="17" xfId="0" applyFont="1" applyFill="1" applyBorder="1" applyAlignment="1" applyProtection="1">
      <alignment vertical="center" wrapText="1"/>
      <protection hidden="1"/>
    </xf>
    <xf numFmtId="0" fontId="40" fillId="6" borderId="41" xfId="0" applyFont="1" applyFill="1" applyBorder="1" applyAlignment="1" applyProtection="1">
      <alignment horizontal="center" vertical="center" wrapText="1"/>
      <protection hidden="1"/>
    </xf>
    <xf numFmtId="0" fontId="40" fillId="6" borderId="58" xfId="0" applyFont="1" applyFill="1" applyBorder="1" applyAlignment="1" applyProtection="1">
      <alignment horizontal="center" vertical="center" wrapText="1"/>
      <protection hidden="1"/>
    </xf>
    <xf numFmtId="0" fontId="40" fillId="6" borderId="59" xfId="0" applyFont="1" applyFill="1" applyBorder="1" applyAlignment="1" applyProtection="1">
      <alignment horizontal="center" vertical="center" wrapText="1"/>
      <protection hidden="1"/>
    </xf>
    <xf numFmtId="0" fontId="39" fillId="6" borderId="40" xfId="0" applyFont="1" applyFill="1" applyBorder="1" applyAlignment="1" applyProtection="1">
      <alignment horizontal="center" vertical="center" wrapText="1"/>
      <protection hidden="1"/>
    </xf>
    <xf numFmtId="0" fontId="13" fillId="9" borderId="11"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3" fillId="9" borderId="9"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14" fillId="9" borderId="16" xfId="0" applyFont="1" applyFill="1" applyBorder="1" applyAlignment="1">
      <alignment horizontal="left" vertical="center" wrapText="1"/>
    </xf>
    <xf numFmtId="0" fontId="14" fillId="9" borderId="17" xfId="0" applyFont="1" applyFill="1" applyBorder="1" applyAlignment="1">
      <alignment horizontal="left" vertical="center" wrapText="1"/>
    </xf>
    <xf numFmtId="0" fontId="17" fillId="5" borderId="55" xfId="0" applyFont="1" applyFill="1" applyBorder="1" applyAlignment="1" applyProtection="1">
      <alignment horizontal="center" vertical="center" wrapText="1"/>
      <protection hidden="1"/>
    </xf>
    <xf numFmtId="0" fontId="16" fillId="5" borderId="56"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15" fillId="0" borderId="0" xfId="0" applyFont="1" applyFill="1" applyBorder="1" applyAlignment="1" applyProtection="1">
      <alignment horizontal="center" vertical="top" wrapText="1"/>
      <protection hidden="1"/>
    </xf>
    <xf numFmtId="0" fontId="0" fillId="0" borderId="0" xfId="0" applyBorder="1" applyAlignment="1" applyProtection="1">
      <alignment horizontal="center" vertical="top" wrapText="1"/>
      <protection hidden="1"/>
    </xf>
    <xf numFmtId="0" fontId="0" fillId="0" borderId="57" xfId="0" applyBorder="1" applyAlignment="1" applyProtection="1">
      <alignment horizontal="center" vertical="top" wrapText="1"/>
      <protection hidden="1"/>
    </xf>
    <xf numFmtId="0" fontId="10" fillId="0"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4" fillId="9" borderId="16" xfId="0" applyFont="1" applyFill="1" applyBorder="1" applyAlignment="1">
      <alignment vertical="center"/>
    </xf>
    <xf numFmtId="0" fontId="14" fillId="9" borderId="17" xfId="0" applyFont="1" applyFill="1" applyBorder="1" applyAlignment="1">
      <alignment vertical="center"/>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50" xfId="0" applyFont="1" applyFill="1" applyBorder="1" applyAlignment="1">
      <alignment horizontal="left" vertical="center" wrapText="1"/>
    </xf>
    <xf numFmtId="0" fontId="0" fillId="0" borderId="50" xfId="0" applyBorder="1" applyAlignment="1">
      <alignment vertical="center"/>
    </xf>
    <xf numFmtId="0" fontId="0" fillId="0" borderId="51" xfId="0" applyBorder="1" applyAlignment="1">
      <alignment vertical="center"/>
    </xf>
    <xf numFmtId="0" fontId="3" fillId="0" borderId="5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48"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13" fillId="9" borderId="12" xfId="0" applyFont="1" applyFill="1" applyBorder="1" applyAlignment="1">
      <alignment horizontal="left" vertical="center" wrapText="1"/>
    </xf>
    <xf numFmtId="0" fontId="13" fillId="9" borderId="0" xfId="0" applyFont="1" applyFill="1" applyBorder="1" applyAlignment="1">
      <alignment horizontal="left" vertical="center" wrapText="1"/>
    </xf>
    <xf numFmtId="0" fontId="15" fillId="9" borderId="0" xfId="0" applyFont="1" applyFill="1" applyBorder="1" applyAlignment="1">
      <alignment vertical="center" wrapText="1"/>
    </xf>
    <xf numFmtId="0" fontId="15" fillId="9" borderId="13" xfId="0" applyFont="1" applyFill="1" applyBorder="1" applyAlignment="1">
      <alignment vertical="center" wrapText="1"/>
    </xf>
    <xf numFmtId="0" fontId="15" fillId="19" borderId="9" xfId="0" applyFont="1" applyFill="1" applyBorder="1" applyAlignment="1" applyProtection="1">
      <alignment vertical="center" wrapText="1"/>
      <protection hidden="1"/>
    </xf>
    <xf numFmtId="0" fontId="15" fillId="19" borderId="16" xfId="0" applyFont="1" applyFill="1" applyBorder="1" applyAlignment="1" applyProtection="1">
      <alignment vertical="center" wrapText="1"/>
      <protection hidden="1"/>
    </xf>
    <xf numFmtId="0" fontId="15" fillId="19" borderId="17" xfId="0" applyFont="1" applyFill="1" applyBorder="1" applyAlignment="1" applyProtection="1">
      <alignment vertical="center" wrapText="1"/>
      <protection hidden="1"/>
    </xf>
    <xf numFmtId="0" fontId="40" fillId="6" borderId="38" xfId="0" applyFont="1" applyFill="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4" fillId="0" borderId="57" xfId="0" applyFont="1" applyBorder="1" applyAlignment="1" applyProtection="1">
      <alignment horizontal="center" vertical="center" wrapText="1"/>
      <protection hidden="1"/>
    </xf>
    <xf numFmtId="0" fontId="14" fillId="0" borderId="0" xfId="0" applyFont="1" applyBorder="1" applyAlignment="1" applyProtection="1">
      <alignment horizontal="center" vertical="top" wrapText="1"/>
      <protection hidden="1"/>
    </xf>
    <xf numFmtId="0" fontId="14" fillId="0" borderId="57" xfId="0" applyFont="1" applyBorder="1" applyAlignment="1" applyProtection="1">
      <alignment horizontal="center" vertical="top" wrapText="1"/>
      <protection hidden="1"/>
    </xf>
    <xf numFmtId="0" fontId="0" fillId="0" borderId="48" xfId="0" applyBorder="1" applyAlignment="1">
      <alignment vertical="center" wrapText="1"/>
    </xf>
    <xf numFmtId="0" fontId="18"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0" fillId="0" borderId="57" xfId="0" applyBorder="1" applyAlignment="1">
      <alignment horizontal="center" wrapText="1"/>
    </xf>
    <xf numFmtId="0" fontId="15" fillId="0" borderId="0" xfId="0" applyFont="1" applyFill="1" applyBorder="1" applyAlignment="1">
      <alignment horizontal="center" vertical="top" wrapText="1"/>
    </xf>
    <xf numFmtId="0" fontId="14" fillId="0" borderId="0" xfId="0" applyFont="1" applyBorder="1" applyAlignment="1">
      <alignment horizontal="center" vertical="top" wrapText="1"/>
    </xf>
    <xf numFmtId="0" fontId="4" fillId="0" borderId="23"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0" fillId="0" borderId="51" xfId="0" applyBorder="1" applyAlignment="1">
      <alignment vertical="center" wrapText="1"/>
    </xf>
    <xf numFmtId="0" fontId="13" fillId="20" borderId="9" xfId="0" applyFont="1" applyFill="1" applyBorder="1" applyAlignment="1">
      <alignment horizontal="left" vertical="center" wrapText="1"/>
    </xf>
    <xf numFmtId="0" fontId="13" fillId="20" borderId="16" xfId="0" applyFont="1" applyFill="1" applyBorder="1" applyAlignment="1">
      <alignment horizontal="left" vertical="center" wrapText="1"/>
    </xf>
    <xf numFmtId="0" fontId="15" fillId="20" borderId="16" xfId="0" applyFont="1" applyFill="1" applyBorder="1" applyAlignment="1">
      <alignment vertical="center" wrapText="1"/>
    </xf>
    <xf numFmtId="0" fontId="14" fillId="20" borderId="16" xfId="0" applyFont="1" applyFill="1" applyBorder="1" applyAlignment="1">
      <alignment vertical="center" wrapText="1"/>
    </xf>
    <xf numFmtId="0" fontId="14" fillId="20" borderId="17" xfId="0" applyFont="1" applyFill="1" applyBorder="1" applyAlignment="1">
      <alignment vertical="center" wrapText="1"/>
    </xf>
    <xf numFmtId="0" fontId="15" fillId="20" borderId="17" xfId="0" applyFont="1" applyFill="1" applyBorder="1" applyAlignment="1">
      <alignment vertical="center" wrapText="1"/>
    </xf>
    <xf numFmtId="0" fontId="16" fillId="0" borderId="54" xfId="0" applyFont="1" applyBorder="1" applyAlignment="1">
      <alignment vertical="center" wrapText="1"/>
    </xf>
    <xf numFmtId="0" fontId="16" fillId="0" borderId="48" xfId="0" applyFont="1" applyBorder="1" applyAlignment="1">
      <alignment vertical="center" wrapText="1"/>
    </xf>
    <xf numFmtId="0" fontId="16" fillId="0" borderId="49" xfId="0" applyFont="1" applyBorder="1" applyAlignment="1">
      <alignment vertical="center" wrapText="1"/>
    </xf>
    <xf numFmtId="0" fontId="4" fillId="0" borderId="22"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0" fillId="0" borderId="61" xfId="0" applyBorder="1" applyAlignment="1">
      <alignment vertical="center" wrapText="1"/>
    </xf>
    <xf numFmtId="0" fontId="15" fillId="9" borderId="16" xfId="0" applyFont="1" applyFill="1" applyBorder="1" applyAlignment="1">
      <alignment vertical="center"/>
    </xf>
    <xf numFmtId="0" fontId="15" fillId="9" borderId="17" xfId="0" applyFont="1" applyFill="1" applyBorder="1" applyAlignment="1">
      <alignment vertical="center"/>
    </xf>
    <xf numFmtId="0" fontId="16" fillId="5" borderId="56" xfId="0" applyFont="1" applyFill="1" applyBorder="1" applyAlignment="1">
      <alignment horizontal="center" vertical="center" wrapText="1"/>
    </xf>
    <xf numFmtId="0" fontId="39" fillId="6" borderId="40" xfId="0" applyFont="1" applyFill="1" applyBorder="1" applyAlignment="1">
      <alignment horizontal="center" vertical="center" wrapText="1"/>
    </xf>
    <xf numFmtId="0" fontId="41" fillId="6" borderId="40" xfId="0" applyFont="1" applyFill="1" applyBorder="1" applyAlignment="1">
      <alignment horizontal="center" vertical="center"/>
    </xf>
    <xf numFmtId="0" fontId="40" fillId="6" borderId="38" xfId="0" applyFont="1" applyFill="1" applyBorder="1" applyAlignment="1">
      <alignment horizontal="center" vertical="center" wrapText="1"/>
    </xf>
    <xf numFmtId="0" fontId="41" fillId="6" borderId="38" xfId="0" applyFont="1" applyFill="1" applyBorder="1" applyAlignment="1">
      <alignment horizontal="center" vertical="center" wrapText="1"/>
    </xf>
    <xf numFmtId="0" fontId="17" fillId="4" borderId="9" xfId="0" applyFont="1" applyFill="1" applyBorder="1" applyAlignment="1" applyProtection="1">
      <alignment vertical="center" wrapText="1"/>
      <protection hidden="1"/>
    </xf>
    <xf numFmtId="0" fontId="17" fillId="4" borderId="16" xfId="0" applyFont="1" applyFill="1" applyBorder="1" applyAlignment="1" applyProtection="1">
      <alignment vertical="center" wrapText="1"/>
      <protection hidden="1"/>
    </xf>
    <xf numFmtId="0" fontId="17" fillId="4" borderId="17" xfId="0" applyFont="1" applyFill="1" applyBorder="1" applyAlignment="1" applyProtection="1">
      <alignment vertical="center" wrapText="1"/>
      <protection hidden="1"/>
    </xf>
    <xf numFmtId="0" fontId="0" fillId="0" borderId="0" xfId="0" applyBorder="1" applyAlignment="1">
      <alignment horizontal="center" wrapText="1"/>
    </xf>
    <xf numFmtId="0" fontId="4" fillId="0" borderId="2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0" fillId="0" borderId="24" xfId="0" applyBorder="1"/>
    <xf numFmtId="0" fontId="0" fillId="0" borderId="48" xfId="0" applyBorder="1"/>
    <xf numFmtId="0" fontId="0" fillId="0" borderId="25" xfId="0" applyBorder="1"/>
    <xf numFmtId="0" fontId="0" fillId="0" borderId="49" xfId="0" applyBorder="1"/>
    <xf numFmtId="0" fontId="51" fillId="0" borderId="43" xfId="0" applyFont="1" applyFill="1" applyBorder="1" applyAlignment="1">
      <alignment horizontal="left" vertical="center" wrapText="1"/>
    </xf>
    <xf numFmtId="0" fontId="1" fillId="0" borderId="43" xfId="0" applyFont="1" applyBorder="1" applyAlignment="1">
      <alignment vertical="center" wrapText="1"/>
    </xf>
    <xf numFmtId="0" fontId="10" fillId="0" borderId="23"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1" fillId="0" borderId="16" xfId="0" applyFont="1" applyFill="1" applyBorder="1" applyAlignment="1">
      <alignment vertical="center" wrapText="1"/>
    </xf>
    <xf numFmtId="0" fontId="21" fillId="0" borderId="17" xfId="0" applyFont="1" applyFill="1" applyBorder="1" applyAlignment="1">
      <alignment vertical="center" wrapText="1"/>
    </xf>
    <xf numFmtId="49" fontId="39" fillId="6" borderId="40" xfId="0" applyNumberFormat="1" applyFont="1" applyFill="1" applyBorder="1" applyAlignment="1">
      <alignment horizontal="center" vertical="center" wrapText="1"/>
    </xf>
    <xf numFmtId="0" fontId="18" fillId="0" borderId="0" xfId="0" applyFont="1" applyFill="1" applyBorder="1" applyAlignment="1">
      <alignment horizontal="center" wrapText="1"/>
    </xf>
    <xf numFmtId="0" fontId="14" fillId="0" borderId="0" xfId="0" applyFont="1" applyBorder="1" applyAlignment="1">
      <alignment horizontal="center" wrapText="1"/>
    </xf>
    <xf numFmtId="0" fontId="0" fillId="0" borderId="70" xfId="0" applyBorder="1" applyAlignment="1" applyProtection="1">
      <protection locked="0"/>
    </xf>
    <xf numFmtId="0" fontId="0" fillId="0" borderId="68" xfId="0" applyBorder="1" applyAlignment="1" applyProtection="1">
      <protection locked="0"/>
    </xf>
    <xf numFmtId="0" fontId="0" fillId="0" borderId="68" xfId="0" applyBorder="1" applyAlignment="1" applyProtection="1">
      <alignment vertical="center"/>
      <protection locked="0"/>
    </xf>
    <xf numFmtId="0" fontId="56" fillId="0" borderId="68" xfId="2" applyBorder="1" applyAlignment="1" applyProtection="1">
      <alignment vertical="center"/>
      <protection locked="0"/>
    </xf>
    <xf numFmtId="0" fontId="56" fillId="0" borderId="67" xfId="2" applyBorder="1" applyAlignment="1" applyProtection="1">
      <alignment vertical="center"/>
      <protection locked="0"/>
    </xf>
    <xf numFmtId="0" fontId="40" fillId="6" borderId="38" xfId="0" applyFont="1" applyFill="1" applyBorder="1" applyAlignment="1">
      <alignment horizontal="center" vertical="center"/>
    </xf>
    <xf numFmtId="0" fontId="41" fillId="6" borderId="38" xfId="0" applyFont="1" applyFill="1" applyBorder="1" applyAlignment="1">
      <alignment horizontal="center" vertical="center"/>
    </xf>
    <xf numFmtId="0" fontId="0" fillId="0" borderId="69" xfId="0" applyBorder="1" applyAlignment="1" applyProtection="1">
      <protection locked="0"/>
    </xf>
    <xf numFmtId="0" fontId="0" fillId="0" borderId="67" xfId="0" applyBorder="1" applyAlignment="1" applyProtection="1">
      <protection locked="0"/>
    </xf>
    <xf numFmtId="0" fontId="40" fillId="6" borderId="38" xfId="0" applyFont="1" applyFill="1" applyBorder="1" applyAlignment="1">
      <alignment horizontal="center" vertical="center" shrinkToFit="1"/>
    </xf>
    <xf numFmtId="0" fontId="39" fillId="6" borderId="62" xfId="0" applyFont="1" applyFill="1" applyBorder="1" applyAlignment="1">
      <alignment horizontal="center" vertical="center"/>
    </xf>
    <xf numFmtId="0" fontId="39" fillId="6" borderId="63" xfId="0" applyFont="1" applyFill="1" applyBorder="1" applyAlignment="1">
      <alignment horizontal="center" vertical="center"/>
    </xf>
    <xf numFmtId="0" fontId="39" fillId="6" borderId="64" xfId="0" applyFont="1" applyFill="1" applyBorder="1" applyAlignment="1">
      <alignment horizontal="center" vertical="center"/>
    </xf>
    <xf numFmtId="0" fontId="40" fillId="6" borderId="65" xfId="0" applyFont="1" applyFill="1" applyBorder="1" applyAlignment="1">
      <alignment horizontal="center" vertical="center" wrapText="1"/>
    </xf>
    <xf numFmtId="0" fontId="41" fillId="6" borderId="66" xfId="0" applyFont="1" applyFill="1" applyBorder="1"/>
    <xf numFmtId="0" fontId="17" fillId="9" borderId="9" xfId="0" applyFont="1" applyFill="1" applyBorder="1" applyAlignment="1" applyProtection="1">
      <alignment horizontal="left" vertical="center" wrapText="1"/>
      <protection hidden="1"/>
    </xf>
    <xf numFmtId="0" fontId="17" fillId="9" borderId="16" xfId="0" applyFont="1" applyFill="1" applyBorder="1" applyAlignment="1" applyProtection="1">
      <alignment horizontal="left" vertical="center" wrapText="1"/>
      <protection hidden="1"/>
    </xf>
    <xf numFmtId="0" fontId="12" fillId="9" borderId="16" xfId="0" applyFont="1" applyFill="1" applyBorder="1" applyAlignment="1" applyProtection="1">
      <alignment horizontal="left" vertical="center" wrapText="1"/>
      <protection hidden="1"/>
    </xf>
    <xf numFmtId="0" fontId="12" fillId="9" borderId="17" xfId="0" applyFont="1" applyFill="1" applyBorder="1" applyAlignment="1" applyProtection="1">
      <alignment horizontal="left" vertical="center" wrapText="1"/>
      <protection hidden="1"/>
    </xf>
    <xf numFmtId="0" fontId="39" fillId="6" borderId="38" xfId="0" applyFont="1" applyFill="1" applyBorder="1" applyAlignment="1">
      <alignment horizontal="center" vertical="center"/>
    </xf>
    <xf numFmtId="0" fontId="15" fillId="0" borderId="11" xfId="0" applyFont="1" applyFill="1" applyBorder="1" applyAlignment="1">
      <alignment horizontal="center" vertical="top" wrapText="1"/>
    </xf>
    <xf numFmtId="0" fontId="14" fillId="0" borderId="14" xfId="0" applyFont="1" applyBorder="1" applyAlignment="1">
      <alignment horizontal="center" vertical="top" wrapText="1"/>
    </xf>
    <xf numFmtId="0" fontId="0" fillId="0" borderId="14" xfId="0"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18" fillId="0" borderId="42" xfId="0" applyFont="1" applyFill="1" applyBorder="1" applyAlignment="1">
      <alignment horizontal="center" vertical="center" wrapText="1"/>
    </xf>
    <xf numFmtId="0" fontId="14" fillId="0" borderId="43" xfId="0" applyFont="1" applyBorder="1" applyAlignment="1">
      <alignment horizontal="center" vertical="center" wrapText="1"/>
    </xf>
    <xf numFmtId="0" fontId="0" fillId="0" borderId="43" xfId="0" applyBorder="1" applyAlignment="1">
      <alignment horizontal="center" wrapText="1"/>
    </xf>
    <xf numFmtId="0" fontId="0" fillId="0" borderId="46" xfId="0" applyBorder="1" applyAlignment="1">
      <alignment horizontal="center" wrapText="1"/>
    </xf>
    <xf numFmtId="0" fontId="17" fillId="4" borderId="11" xfId="0" applyFont="1" applyFill="1" applyBorder="1" applyAlignment="1" applyProtection="1">
      <alignment vertical="center" wrapText="1"/>
      <protection hidden="1"/>
    </xf>
    <xf numFmtId="0" fontId="17" fillId="4" borderId="14" xfId="0" applyFont="1" applyFill="1" applyBorder="1" applyAlignment="1" applyProtection="1">
      <alignment vertical="center" wrapText="1"/>
      <protection hidden="1"/>
    </xf>
    <xf numFmtId="0" fontId="17" fillId="4" borderId="15" xfId="0" applyFont="1" applyFill="1" applyBorder="1" applyAlignment="1" applyProtection="1">
      <alignment vertical="center" wrapText="1"/>
      <protection hidden="1"/>
    </xf>
    <xf numFmtId="0" fontId="46" fillId="0" borderId="7" xfId="0" applyFont="1" applyFill="1" applyBorder="1" applyAlignment="1" applyProtection="1">
      <alignment horizontal="left" vertical="center" wrapText="1"/>
      <protection hidden="1"/>
    </xf>
    <xf numFmtId="0" fontId="46" fillId="0" borderId="50" xfId="0" applyFont="1" applyFill="1" applyBorder="1" applyAlignment="1" applyProtection="1">
      <alignment horizontal="left" vertical="center" wrapText="1"/>
      <protection hidden="1"/>
    </xf>
    <xf numFmtId="0" fontId="46" fillId="0" borderId="51" xfId="0" applyFont="1" applyFill="1" applyBorder="1" applyAlignment="1" applyProtection="1">
      <alignment horizontal="left" vertical="center" wrapText="1"/>
      <protection hidden="1"/>
    </xf>
    <xf numFmtId="0" fontId="46" fillId="0" borderId="2" xfId="0" applyFont="1" applyFill="1" applyBorder="1" applyAlignment="1" applyProtection="1">
      <alignment horizontal="left" vertical="center" wrapText="1"/>
      <protection hidden="1"/>
    </xf>
    <xf numFmtId="0" fontId="46" fillId="0" borderId="24" xfId="0" applyFont="1" applyFill="1" applyBorder="1" applyAlignment="1" applyProtection="1">
      <alignment horizontal="left" vertical="center" wrapText="1"/>
      <protection hidden="1"/>
    </xf>
    <xf numFmtId="0" fontId="46" fillId="0" borderId="48" xfId="0" applyFont="1" applyFill="1" applyBorder="1" applyAlignment="1" applyProtection="1">
      <alignment horizontal="left" vertical="center" wrapText="1"/>
      <protection hidden="1"/>
    </xf>
    <xf numFmtId="0" fontId="11" fillId="0" borderId="2" xfId="0" applyFont="1" applyFill="1" applyBorder="1" applyAlignment="1" applyProtection="1">
      <alignment horizontal="left" vertical="center" wrapText="1"/>
      <protection hidden="1"/>
    </xf>
    <xf numFmtId="0" fontId="11" fillId="0" borderId="24" xfId="0" applyFont="1" applyFill="1" applyBorder="1" applyAlignment="1" applyProtection="1">
      <alignment horizontal="left" vertical="center" wrapText="1"/>
      <protection hidden="1"/>
    </xf>
    <xf numFmtId="0" fontId="11" fillId="0" borderId="48" xfId="0" applyFont="1" applyFill="1" applyBorder="1" applyAlignment="1" applyProtection="1">
      <alignment horizontal="left" vertical="center" wrapText="1"/>
      <protection hidden="1"/>
    </xf>
    <xf numFmtId="0" fontId="11" fillId="0" borderId="18" xfId="0" applyFont="1" applyFill="1" applyBorder="1" applyAlignment="1" applyProtection="1">
      <alignment horizontal="left" vertical="center" wrapText="1"/>
      <protection hidden="1"/>
    </xf>
    <xf numFmtId="0" fontId="46" fillId="0" borderId="16" xfId="0" applyFont="1" applyFill="1" applyBorder="1" applyAlignment="1" applyProtection="1">
      <alignment horizontal="left" vertical="center" wrapText="1"/>
      <protection hidden="1"/>
    </xf>
    <xf numFmtId="0" fontId="46" fillId="0" borderId="17" xfId="0" applyFont="1" applyFill="1" applyBorder="1" applyAlignment="1" applyProtection="1">
      <alignment horizontal="left" vertical="center" wrapText="1"/>
      <protection hidden="1"/>
    </xf>
    <xf numFmtId="0" fontId="35" fillId="6" borderId="9" xfId="0" applyFont="1" applyFill="1" applyBorder="1" applyAlignment="1" applyProtection="1">
      <alignment vertical="center" wrapText="1"/>
      <protection hidden="1"/>
    </xf>
    <xf numFmtId="0" fontId="35" fillId="6" borderId="16" xfId="0" applyFont="1" applyFill="1" applyBorder="1" applyAlignment="1" applyProtection="1">
      <alignment vertical="center" wrapText="1"/>
      <protection hidden="1"/>
    </xf>
    <xf numFmtId="0" fontId="35" fillId="6" borderId="17" xfId="0" applyFont="1" applyFill="1" applyBorder="1" applyAlignment="1" applyProtection="1">
      <alignment vertical="center" wrapText="1"/>
      <protection hidden="1"/>
    </xf>
    <xf numFmtId="0" fontId="46" fillId="0" borderId="18" xfId="0" applyFont="1" applyFill="1" applyBorder="1" applyAlignment="1" applyProtection="1">
      <alignment horizontal="left" vertical="center" wrapText="1"/>
      <protection hidden="1"/>
    </xf>
    <xf numFmtId="0" fontId="35" fillId="6" borderId="11" xfId="0" applyFont="1" applyFill="1" applyBorder="1" applyAlignment="1" applyProtection="1">
      <alignment vertical="center" wrapText="1"/>
      <protection hidden="1"/>
    </xf>
    <xf numFmtId="0" fontId="35" fillId="6" borderId="14" xfId="0" applyFont="1" applyFill="1" applyBorder="1" applyAlignment="1" applyProtection="1">
      <alignment vertical="center" wrapText="1"/>
      <protection hidden="1"/>
    </xf>
    <xf numFmtId="0" fontId="35" fillId="6" borderId="15" xfId="0" applyFont="1" applyFill="1" applyBorder="1" applyAlignment="1" applyProtection="1">
      <alignment vertical="center" wrapText="1"/>
      <protection hidden="1"/>
    </xf>
    <xf numFmtId="0" fontId="25" fillId="19" borderId="71" xfId="0" applyFont="1" applyFill="1" applyBorder="1" applyAlignment="1" applyProtection="1">
      <alignment horizontal="center" vertical="center" wrapText="1"/>
      <protection hidden="1"/>
    </xf>
    <xf numFmtId="0" fontId="0" fillId="0" borderId="0" xfId="0" applyAlignment="1">
      <alignment vertical="top" wrapText="1"/>
    </xf>
    <xf numFmtId="0" fontId="0" fillId="0" borderId="0" xfId="0" applyAlignment="1">
      <alignment wrapText="1"/>
    </xf>
    <xf numFmtId="0" fontId="0" fillId="0" borderId="0" xfId="0" applyAlignment="1"/>
    <xf numFmtId="0" fontId="46" fillId="0" borderId="8" xfId="0" applyFont="1" applyFill="1" applyBorder="1" applyAlignment="1" applyProtection="1">
      <alignment horizontal="left" vertical="center" wrapText="1"/>
      <protection hidden="1"/>
    </xf>
    <xf numFmtId="0" fontId="46" fillId="0" borderId="25" xfId="0" applyFont="1" applyFill="1" applyBorder="1" applyAlignment="1" applyProtection="1">
      <alignment horizontal="left" vertical="center" wrapText="1"/>
      <protection hidden="1"/>
    </xf>
    <xf numFmtId="0" fontId="46" fillId="0" borderId="49" xfId="0" applyFont="1" applyFill="1" applyBorder="1" applyAlignment="1" applyProtection="1">
      <alignment horizontal="left" vertical="center" wrapText="1"/>
      <protection hidden="1"/>
    </xf>
    <xf numFmtId="0" fontId="43" fillId="0" borderId="72" xfId="0" applyFont="1" applyBorder="1" applyAlignment="1">
      <alignment vertical="center" wrapText="1"/>
    </xf>
    <xf numFmtId="0" fontId="43" fillId="0" borderId="24" xfId="0" applyFont="1" applyBorder="1" applyAlignment="1">
      <alignment vertical="center" wrapText="1"/>
    </xf>
    <xf numFmtId="0" fontId="43" fillId="0" borderId="48" xfId="0" applyFont="1" applyBorder="1" applyAlignment="1">
      <alignment vertical="center" wrapText="1"/>
    </xf>
    <xf numFmtId="0" fontId="43" fillId="0" borderId="75" xfId="0" applyFont="1" applyBorder="1" applyAlignment="1">
      <alignment vertical="center" wrapText="1"/>
    </xf>
    <xf numFmtId="0" fontId="43" fillId="0" borderId="25" xfId="0" applyFont="1" applyBorder="1" applyAlignment="1">
      <alignment vertical="center" wrapText="1"/>
    </xf>
    <xf numFmtId="0" fontId="43" fillId="0" borderId="49" xfId="0" applyFont="1" applyBorder="1" applyAlignment="1">
      <alignment vertical="center" wrapText="1"/>
    </xf>
    <xf numFmtId="0" fontId="17" fillId="16" borderId="9" xfId="0" applyFont="1" applyFill="1" applyBorder="1" applyAlignment="1" applyProtection="1">
      <alignment horizontal="left" vertical="center" wrapText="1"/>
      <protection hidden="1"/>
    </xf>
    <xf numFmtId="0" fontId="17" fillId="16" borderId="16" xfId="0" applyFont="1" applyFill="1" applyBorder="1" applyAlignment="1" applyProtection="1">
      <alignment horizontal="left" vertical="center" wrapText="1"/>
      <protection hidden="1"/>
    </xf>
    <xf numFmtId="0" fontId="12" fillId="16" borderId="16" xfId="0" applyFont="1" applyFill="1" applyBorder="1" applyAlignment="1" applyProtection="1">
      <alignment horizontal="left" vertical="center" wrapText="1"/>
      <protection hidden="1"/>
    </xf>
    <xf numFmtId="0" fontId="12" fillId="16" borderId="17" xfId="0" applyFont="1" applyFill="1" applyBorder="1" applyAlignment="1" applyProtection="1">
      <alignment horizontal="left" vertical="center" wrapText="1"/>
      <protection hidden="1"/>
    </xf>
    <xf numFmtId="0" fontId="43" fillId="0" borderId="73" xfId="0" applyFont="1" applyBorder="1" applyAlignment="1">
      <alignment vertical="center" wrapText="1"/>
    </xf>
    <xf numFmtId="0" fontId="43" fillId="0" borderId="50" xfId="0" applyFont="1" applyBorder="1" applyAlignment="1">
      <alignment vertical="center" wrapText="1"/>
    </xf>
    <xf numFmtId="0" fontId="43" fillId="0" borderId="51" xfId="0" applyFont="1" applyBorder="1" applyAlignment="1">
      <alignment vertical="center" wrapText="1"/>
    </xf>
    <xf numFmtId="0" fontId="40" fillId="7" borderId="74" xfId="0" applyFont="1" applyFill="1" applyBorder="1" applyAlignment="1" applyProtection="1">
      <alignment horizontal="center" vertical="center" wrapText="1"/>
      <protection hidden="1"/>
    </xf>
    <xf numFmtId="0" fontId="40" fillId="7" borderId="74" xfId="0" applyFont="1" applyFill="1" applyBorder="1" applyAlignment="1">
      <alignment horizontal="center" vertical="center" wrapText="1"/>
    </xf>
    <xf numFmtId="0" fontId="40" fillId="7" borderId="29" xfId="0" applyFont="1" applyFill="1" applyBorder="1" applyAlignment="1">
      <alignment horizontal="center" vertical="center" wrapText="1"/>
    </xf>
    <xf numFmtId="0" fontId="42" fillId="0" borderId="72" xfId="3" applyFont="1" applyBorder="1" applyAlignment="1">
      <alignment horizontal="left" vertical="center"/>
    </xf>
    <xf numFmtId="0" fontId="42" fillId="0" borderId="48" xfId="3" applyFont="1" applyBorder="1" applyAlignment="1">
      <alignment horizontal="left" vertical="center"/>
    </xf>
    <xf numFmtId="0" fontId="43" fillId="0" borderId="76" xfId="3" applyFont="1" applyBorder="1" applyAlignment="1">
      <alignment horizontal="left" vertical="center"/>
    </xf>
    <xf numFmtId="0" fontId="43" fillId="0" borderId="26" xfId="3" applyFont="1" applyBorder="1" applyAlignment="1">
      <alignment horizontal="left" vertical="center"/>
    </xf>
    <xf numFmtId="0" fontId="35" fillId="6" borderId="78" xfId="3" applyFont="1" applyFill="1" applyBorder="1" applyAlignment="1">
      <alignment horizontal="center" vertical="center" wrapText="1"/>
    </xf>
    <xf numFmtId="0" fontId="41" fillId="6" borderId="17" xfId="0" applyFont="1" applyFill="1" applyBorder="1" applyAlignment="1">
      <alignment horizontal="center" vertical="center" wrapText="1"/>
    </xf>
    <xf numFmtId="0" fontId="43" fillId="0" borderId="77" xfId="3" applyFont="1" applyBorder="1" applyAlignment="1">
      <alignment horizontal="left" vertical="center"/>
    </xf>
    <xf numFmtId="0" fontId="43" fillId="0" borderId="27" xfId="3" applyFont="1" applyBorder="1" applyAlignment="1">
      <alignment horizontal="left" vertical="center"/>
    </xf>
    <xf numFmtId="0" fontId="11" fillId="0" borderId="9" xfId="0" applyFont="1" applyFill="1" applyBorder="1" applyAlignment="1" applyProtection="1">
      <alignment horizontal="left" vertical="center" wrapText="1"/>
      <protection hidden="1"/>
    </xf>
    <xf numFmtId="0" fontId="0" fillId="0" borderId="16" xfId="0" applyBorder="1" applyAlignment="1">
      <alignment horizontal="left" vertical="center" wrapText="1"/>
    </xf>
    <xf numFmtId="0" fontId="42" fillId="0" borderId="73" xfId="3" applyFont="1" applyBorder="1" applyAlignment="1">
      <alignment horizontal="left" vertical="center"/>
    </xf>
    <xf numFmtId="0" fontId="42" fillId="0" borderId="51" xfId="3" applyFont="1" applyBorder="1" applyAlignment="1">
      <alignment horizontal="left" vertical="center"/>
    </xf>
    <xf numFmtId="0" fontId="12" fillId="12" borderId="2" xfId="0" applyFont="1" applyFill="1" applyBorder="1" applyAlignment="1" applyProtection="1">
      <alignment vertical="center"/>
      <protection hidden="1"/>
    </xf>
    <xf numFmtId="0" fontId="0" fillId="12" borderId="2" xfId="0" applyFill="1" applyBorder="1" applyAlignment="1" applyProtection="1">
      <alignment vertical="center"/>
      <protection hidden="1"/>
    </xf>
    <xf numFmtId="0" fontId="12" fillId="11" borderId="2" xfId="0" applyFont="1" applyFill="1" applyBorder="1" applyAlignment="1" applyProtection="1">
      <alignment vertical="center"/>
      <protection hidden="1"/>
    </xf>
    <xf numFmtId="0" fontId="0" fillId="11" borderId="2" xfId="0" applyFill="1" applyBorder="1" applyAlignment="1" applyProtection="1">
      <alignment vertical="center"/>
      <protection hidden="1"/>
    </xf>
    <xf numFmtId="0" fontId="12" fillId="11" borderId="8" xfId="0" applyFont="1" applyFill="1" applyBorder="1" applyAlignment="1" applyProtection="1">
      <alignment vertical="center"/>
      <protection hidden="1"/>
    </xf>
    <xf numFmtId="0" fontId="0" fillId="11" borderId="8" xfId="0" applyFill="1" applyBorder="1" applyAlignment="1" applyProtection="1">
      <alignment vertical="center"/>
      <protection hidden="1"/>
    </xf>
    <xf numFmtId="0" fontId="12" fillId="0" borderId="76" xfId="0" applyFont="1" applyBorder="1" applyAlignment="1" applyProtection="1">
      <alignment vertical="center" wrapText="1"/>
      <protection hidden="1"/>
    </xf>
    <xf numFmtId="0" fontId="0" fillId="0" borderId="76" xfId="0" applyBorder="1" applyAlignment="1" applyProtection="1">
      <alignment wrapText="1"/>
      <protection hidden="1"/>
    </xf>
    <xf numFmtId="0" fontId="0" fillId="0" borderId="26" xfId="0" applyBorder="1" applyAlignment="1" applyProtection="1">
      <alignment wrapText="1"/>
      <protection hidden="1"/>
    </xf>
    <xf numFmtId="0" fontId="12" fillId="0" borderId="23" xfId="0" applyFont="1" applyBorder="1" applyAlignment="1" applyProtection="1">
      <alignment vertical="center"/>
      <protection hidden="1"/>
    </xf>
    <xf numFmtId="0" fontId="12" fillId="0" borderId="50" xfId="0" applyFont="1" applyBorder="1" applyAlignment="1" applyProtection="1">
      <alignment vertical="center"/>
      <protection hidden="1"/>
    </xf>
    <xf numFmtId="0" fontId="0" fillId="0" borderId="50" xfId="0" applyBorder="1" applyAlignment="1" applyProtection="1">
      <protection hidden="1"/>
    </xf>
    <xf numFmtId="0" fontId="0" fillId="0" borderId="51" xfId="0" applyBorder="1" applyAlignment="1" applyProtection="1">
      <protection hidden="1"/>
    </xf>
    <xf numFmtId="0" fontId="12" fillId="0" borderId="20" xfId="0" applyFont="1" applyBorder="1" applyAlignment="1" applyProtection="1">
      <alignment vertical="center"/>
      <protection hidden="1"/>
    </xf>
    <xf numFmtId="0" fontId="12" fillId="0" borderId="24" xfId="0" applyFont="1" applyBorder="1" applyAlignment="1" applyProtection="1">
      <alignment vertical="center"/>
      <protection hidden="1"/>
    </xf>
    <xf numFmtId="0" fontId="0" fillId="0" borderId="24" xfId="0" applyBorder="1" applyAlignment="1" applyProtection="1">
      <protection hidden="1"/>
    </xf>
    <xf numFmtId="0" fontId="0" fillId="0" borderId="48" xfId="0" applyBorder="1" applyAlignment="1" applyProtection="1">
      <protection hidden="1"/>
    </xf>
    <xf numFmtId="0" fontId="12" fillId="0" borderId="21" xfId="0" applyFont="1" applyBorder="1" applyAlignment="1" applyProtection="1">
      <alignment vertical="center"/>
      <protection hidden="1"/>
    </xf>
    <xf numFmtId="0" fontId="12" fillId="0" borderId="25" xfId="0" applyFont="1" applyBorder="1" applyAlignment="1" applyProtection="1">
      <alignment vertical="center"/>
      <protection hidden="1"/>
    </xf>
    <xf numFmtId="0" fontId="0" fillId="0" borderId="25" xfId="0" applyBorder="1" applyAlignment="1" applyProtection="1">
      <protection hidden="1"/>
    </xf>
    <xf numFmtId="0" fontId="0" fillId="0" borderId="49" xfId="0" applyBorder="1" applyAlignment="1" applyProtection="1">
      <protection hidden="1"/>
    </xf>
    <xf numFmtId="0" fontId="35" fillId="7" borderId="9" xfId="0" applyFont="1" applyFill="1" applyBorder="1" applyAlignment="1" applyProtection="1">
      <alignment horizontal="left" vertical="center"/>
      <protection hidden="1"/>
    </xf>
    <xf numFmtId="0" fontId="35" fillId="7" borderId="16" xfId="0" applyFont="1" applyFill="1" applyBorder="1" applyAlignment="1" applyProtection="1">
      <alignment horizontal="left" vertical="center"/>
      <protection hidden="1"/>
    </xf>
    <xf numFmtId="0" fontId="41" fillId="7" borderId="16" xfId="0" applyFont="1" applyFill="1" applyBorder="1" applyAlignment="1" applyProtection="1">
      <alignment horizontal="left"/>
      <protection hidden="1"/>
    </xf>
    <xf numFmtId="0" fontId="41" fillId="7" borderId="16" xfId="0" applyFont="1" applyFill="1" applyBorder="1" applyAlignment="1" applyProtection="1">
      <protection hidden="1"/>
    </xf>
    <xf numFmtId="0" fontId="41" fillId="7" borderId="17" xfId="0" applyFont="1" applyFill="1" applyBorder="1" applyAlignment="1" applyProtection="1">
      <protection hidden="1"/>
    </xf>
    <xf numFmtId="0" fontId="12" fillId="0" borderId="79" xfId="0" applyFont="1" applyBorder="1" applyAlignment="1" applyProtection="1">
      <alignment vertical="center" wrapText="1"/>
      <protection hidden="1"/>
    </xf>
    <xf numFmtId="0" fontId="0" fillId="0" borderId="79" xfId="0" applyBorder="1" applyAlignment="1" applyProtection="1">
      <alignment wrapText="1"/>
      <protection hidden="1"/>
    </xf>
    <xf numFmtId="0" fontId="0" fillId="0" borderId="31" xfId="0" applyBorder="1" applyAlignment="1" applyProtection="1">
      <alignment wrapText="1"/>
      <protection hidden="1"/>
    </xf>
    <xf numFmtId="0" fontId="0" fillId="11" borderId="42" xfId="0" applyFill="1" applyBorder="1" applyAlignment="1" applyProtection="1">
      <alignment horizontal="center" vertical="center" wrapText="1"/>
      <protection hidden="1"/>
    </xf>
    <xf numFmtId="0" fontId="0" fillId="15" borderId="43" xfId="0" applyFill="1" applyBorder="1" applyAlignment="1">
      <alignment horizontal="center" vertical="center" wrapText="1"/>
    </xf>
    <xf numFmtId="0" fontId="0" fillId="15" borderId="46"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0" xfId="0" applyFill="1" applyAlignment="1">
      <alignment horizontal="center" vertical="center" wrapText="1"/>
    </xf>
    <xf numFmtId="0" fontId="0" fillId="15" borderId="13" xfId="0" applyFill="1" applyBorder="1" applyAlignment="1">
      <alignment horizontal="center" vertical="center" wrapText="1"/>
    </xf>
    <xf numFmtId="0" fontId="0" fillId="15" borderId="11" xfId="0" applyFill="1" applyBorder="1" applyAlignment="1">
      <alignment horizontal="center" vertical="center" wrapText="1"/>
    </xf>
    <xf numFmtId="0" fontId="0" fillId="15" borderId="14" xfId="0" applyFill="1" applyBorder="1" applyAlignment="1">
      <alignment horizontal="center" vertical="center" wrapText="1"/>
    </xf>
    <xf numFmtId="0" fontId="0" fillId="15" borderId="15" xfId="0" applyFill="1" applyBorder="1" applyAlignment="1">
      <alignment horizontal="center" vertical="center" wrapText="1"/>
    </xf>
    <xf numFmtId="0" fontId="23" fillId="0" borderId="75" xfId="0" applyFont="1" applyBorder="1" applyAlignment="1" applyProtection="1">
      <alignment vertical="center" wrapText="1"/>
      <protection hidden="1"/>
    </xf>
    <xf numFmtId="0" fontId="24" fillId="0" borderId="25" xfId="0" applyFont="1" applyBorder="1" applyAlignment="1" applyProtection="1">
      <alignment wrapText="1"/>
      <protection hidden="1"/>
    </xf>
    <xf numFmtId="0" fontId="24" fillId="0" borderId="49" xfId="0" applyFont="1" applyBorder="1" applyAlignment="1" applyProtection="1">
      <alignment wrapText="1"/>
      <protection hidden="1"/>
    </xf>
    <xf numFmtId="0" fontId="35" fillId="7" borderId="9" xfId="0" applyFont="1" applyFill="1" applyBorder="1" applyAlignment="1" applyProtection="1">
      <alignment horizontal="left" vertical="center" wrapText="1"/>
      <protection hidden="1"/>
    </xf>
    <xf numFmtId="0" fontId="41" fillId="7" borderId="16" xfId="0" applyFont="1" applyFill="1" applyBorder="1" applyAlignment="1" applyProtection="1">
      <alignment horizontal="left" wrapText="1"/>
      <protection hidden="1"/>
    </xf>
    <xf numFmtId="0" fontId="41" fillId="7" borderId="17" xfId="0" applyFont="1" applyFill="1" applyBorder="1" applyAlignment="1" applyProtection="1">
      <alignment horizontal="left" wrapText="1"/>
      <protection hidden="1"/>
    </xf>
    <xf numFmtId="0" fontId="12" fillId="11" borderId="7" xfId="0" applyFont="1" applyFill="1" applyBorder="1" applyAlignment="1" applyProtection="1">
      <alignment vertical="center"/>
      <protection hidden="1"/>
    </xf>
    <xf numFmtId="0" fontId="0" fillId="11" borderId="7" xfId="0" applyFill="1" applyBorder="1" applyAlignment="1" applyProtection="1">
      <alignment vertical="center"/>
      <protection hidden="1"/>
    </xf>
    <xf numFmtId="0" fontId="11" fillId="4" borderId="9" xfId="0" applyFont="1" applyFill="1" applyBorder="1" applyAlignment="1" applyProtection="1">
      <alignment horizontal="left" vertical="center" wrapText="1"/>
      <protection hidden="1"/>
    </xf>
    <xf numFmtId="0" fontId="0" fillId="4" borderId="16" xfId="0" applyFill="1" applyBorder="1" applyAlignment="1" applyProtection="1">
      <alignment horizontal="left" vertical="center" wrapText="1"/>
      <protection hidden="1"/>
    </xf>
    <xf numFmtId="0" fontId="0" fillId="4" borderId="17" xfId="0" applyFill="1" applyBorder="1" applyAlignment="1" applyProtection="1">
      <alignment horizontal="left" vertical="center" wrapText="1"/>
      <protection hidden="1"/>
    </xf>
    <xf numFmtId="0" fontId="35" fillId="7" borderId="16" xfId="0" applyFont="1" applyFill="1" applyBorder="1" applyAlignment="1" applyProtection="1">
      <alignment horizontal="left" vertical="center" wrapText="1"/>
      <protection hidden="1"/>
    </xf>
    <xf numFmtId="0" fontId="35" fillId="7" borderId="17" xfId="0" applyFont="1" applyFill="1" applyBorder="1" applyAlignment="1" applyProtection="1">
      <alignment horizontal="left" vertical="center" wrapText="1"/>
      <protection hidden="1"/>
    </xf>
    <xf numFmtId="0" fontId="12" fillId="0" borderId="51" xfId="0" applyFont="1" applyBorder="1" applyAlignment="1" applyProtection="1">
      <alignment vertical="center"/>
      <protection hidden="1"/>
    </xf>
    <xf numFmtId="0" fontId="41" fillId="7" borderId="17" xfId="0" applyFont="1" applyFill="1" applyBorder="1" applyAlignment="1" applyProtection="1">
      <alignment horizontal="left"/>
      <protection hidden="1"/>
    </xf>
    <xf numFmtId="0" fontId="12" fillId="0" borderId="48" xfId="0" applyFont="1" applyBorder="1" applyAlignment="1" applyProtection="1">
      <alignment vertical="center"/>
      <protection hidden="1"/>
    </xf>
    <xf numFmtId="0" fontId="12" fillId="0" borderId="49" xfId="0" applyFont="1" applyBorder="1" applyAlignment="1" applyProtection="1">
      <alignment vertical="center"/>
      <protection hidden="1"/>
    </xf>
    <xf numFmtId="0" fontId="12" fillId="13" borderId="2" xfId="0" applyFont="1" applyFill="1" applyBorder="1" applyAlignment="1" applyProtection="1">
      <alignment vertical="center"/>
      <protection hidden="1"/>
    </xf>
    <xf numFmtId="0" fontId="0" fillId="13" borderId="2" xfId="0" applyFill="1" applyBorder="1" applyAlignment="1" applyProtection="1">
      <alignment vertical="center"/>
      <protection hidden="1"/>
    </xf>
    <xf numFmtId="0" fontId="12" fillId="13" borderId="8" xfId="0" applyFont="1" applyFill="1" applyBorder="1" applyAlignment="1" applyProtection="1">
      <alignment vertical="center"/>
      <protection hidden="1"/>
    </xf>
    <xf numFmtId="0" fontId="0" fillId="13" borderId="8" xfId="0" applyFill="1" applyBorder="1" applyAlignment="1" applyProtection="1">
      <alignment vertical="center"/>
      <protection hidden="1"/>
    </xf>
    <xf numFmtId="0" fontId="0" fillId="13" borderId="7" xfId="0" applyFill="1" applyBorder="1" applyAlignment="1" applyProtection="1">
      <alignment horizontal="center" vertical="center" wrapText="1"/>
      <protection hidden="1"/>
    </xf>
    <xf numFmtId="0" fontId="0" fillId="14" borderId="7" xfId="0" applyFill="1" applyBorder="1" applyAlignment="1">
      <alignment horizontal="center" vertical="center" wrapText="1"/>
    </xf>
    <xf numFmtId="0" fontId="0" fillId="13" borderId="4" xfId="0" applyFill="1" applyBorder="1" applyAlignment="1" applyProtection="1">
      <alignment horizontal="center" vertical="center" wrapText="1"/>
      <protection hidden="1"/>
    </xf>
    <xf numFmtId="0" fontId="0" fillId="14" borderId="4"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8" xfId="0" applyFill="1" applyBorder="1" applyAlignment="1">
      <alignment horizontal="center" vertical="center" wrapText="1"/>
    </xf>
    <xf numFmtId="0" fontId="12" fillId="0" borderId="9" xfId="0" applyFont="1" applyBorder="1" applyAlignment="1" applyProtection="1">
      <alignment vertical="center"/>
      <protection hidden="1"/>
    </xf>
    <xf numFmtId="0" fontId="0" fillId="0" borderId="16" xfId="0" applyBorder="1" applyAlignment="1" applyProtection="1">
      <alignment vertical="center"/>
      <protection hidden="1"/>
    </xf>
    <xf numFmtId="0" fontId="0" fillId="0" borderId="9"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41" fillId="7" borderId="16" xfId="0" applyFont="1" applyFill="1" applyBorder="1" applyAlignment="1" applyProtection="1">
      <alignment horizontal="left" vertical="center"/>
      <protection hidden="1"/>
    </xf>
    <xf numFmtId="0" fontId="41" fillId="7" borderId="17" xfId="0" applyFont="1" applyFill="1" applyBorder="1" applyAlignment="1" applyProtection="1">
      <alignment horizontal="left" vertical="center"/>
      <protection hidden="1"/>
    </xf>
    <xf numFmtId="0" fontId="7" fillId="0" borderId="9" xfId="0" applyFont="1" applyBorder="1" applyAlignment="1" applyProtection="1">
      <alignment vertical="center" wrapText="1"/>
      <protection hidden="1"/>
    </xf>
    <xf numFmtId="0" fontId="7" fillId="0" borderId="16"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11" fillId="4" borderId="9" xfId="0" applyFont="1" applyFill="1" applyBorder="1" applyAlignment="1" applyProtection="1">
      <alignment horizontal="center" vertical="center"/>
      <protection hidden="1"/>
    </xf>
    <xf numFmtId="0" fontId="11" fillId="4" borderId="16" xfId="0" applyFont="1" applyFill="1" applyBorder="1" applyAlignment="1" applyProtection="1">
      <alignment horizontal="center" vertical="center"/>
      <protection hidden="1"/>
    </xf>
    <xf numFmtId="0" fontId="11" fillId="4" borderId="17" xfId="0" applyFont="1" applyFill="1" applyBorder="1" applyAlignment="1" applyProtection="1">
      <alignment horizontal="center" vertical="center"/>
      <protection hidden="1"/>
    </xf>
    <xf numFmtId="0" fontId="12" fillId="12" borderId="7" xfId="0" applyFont="1" applyFill="1" applyBorder="1" applyAlignment="1" applyProtection="1">
      <alignment vertical="center"/>
      <protection hidden="1"/>
    </xf>
    <xf numFmtId="0" fontId="0" fillId="12" borderId="7" xfId="0" applyFill="1" applyBorder="1" applyAlignment="1" applyProtection="1">
      <alignment vertical="center"/>
      <protection hidden="1"/>
    </xf>
    <xf numFmtId="0" fontId="0" fillId="0" borderId="17" xfId="0" applyBorder="1" applyAlignment="1" applyProtection="1">
      <alignment horizontal="center" vertical="center"/>
      <protection hidden="1"/>
    </xf>
  </cellXfs>
  <cellStyles count="4">
    <cellStyle name="Hyperlink" xfId="1" builtinId="8"/>
    <cellStyle name="Normal" xfId="0" builtinId="0"/>
    <cellStyle name="Obično 2" xfId="2"/>
    <cellStyle name="Obično_Knjiga2" xfId="3"/>
  </cellStyles>
  <dxfs count="5">
    <dxf>
      <font>
        <b/>
        <i val="0"/>
        <condense val="0"/>
        <extend val="0"/>
        <color indexed="10"/>
      </font>
      <fill>
        <patternFill>
          <bgColor indexed="22"/>
        </patternFill>
      </fill>
    </dxf>
    <dxf>
      <font>
        <b/>
        <i val="0"/>
        <condense val="0"/>
        <extend val="0"/>
        <color indexed="34"/>
      </font>
      <fill>
        <patternFill>
          <bgColor indexed="56"/>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14</xdr:col>
      <xdr:colOff>0</xdr:colOff>
      <xdr:row>17</xdr:row>
      <xdr:rowOff>0</xdr:rowOff>
    </xdr:to>
    <xdr:grpSp>
      <xdr:nvGrpSpPr>
        <xdr:cNvPr id="1352" name="Group 11"/>
        <xdr:cNvGrpSpPr>
          <a:grpSpLocks/>
        </xdr:cNvGrpSpPr>
      </xdr:nvGrpSpPr>
      <xdr:grpSpPr bwMode="auto">
        <a:xfrm>
          <a:off x="4838700" y="3638550"/>
          <a:ext cx="2238375" cy="190500"/>
          <a:chOff x="885" y="94"/>
          <a:chExt cx="640" cy="55"/>
        </a:xfrm>
      </xdr:grpSpPr>
      <xdr:sp macro="" textlink="">
        <xdr:nvSpPr>
          <xdr:cNvPr id="1353" name="Freeform 1"/>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54" name="Freeform 2"/>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55" name="Freeform 3"/>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56" name="Freeform 4"/>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57" name="Freeform 5"/>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58" name="Freeform 6"/>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59" name="Freeform 7"/>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60" name="Freeform 8"/>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61" name="Freeform 9"/>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62" name="Freeform 10"/>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 name="T12" fmla="*/ 0 w 64"/>
              <a:gd name="T13" fmla="*/ 0 h 55"/>
              <a:gd name="T14" fmla="*/ 64 w 64"/>
              <a:gd name="T15" fmla="*/ 55 h 55"/>
            </a:gdLst>
            <a:ahLst/>
            <a:cxnLst>
              <a:cxn ang="T8">
                <a:pos x="T0" y="T1"/>
              </a:cxn>
              <a:cxn ang="T9">
                <a:pos x="T2" y="T3"/>
              </a:cxn>
              <a:cxn ang="T10">
                <a:pos x="T4" y="T5"/>
              </a:cxn>
              <a:cxn ang="T11">
                <a:pos x="T6" y="T7"/>
              </a:cxn>
            </a:cxnLst>
            <a:rect l="T12" t="T13" r="T14" b="T15"/>
            <a:pathLst>
              <a:path w="64" h="55">
                <a:moveTo>
                  <a:pt x="0" y="0"/>
                </a:moveTo>
                <a:lnTo>
                  <a:pt x="0" y="55"/>
                </a:lnTo>
                <a:lnTo>
                  <a:pt x="64" y="55"/>
                </a:lnTo>
                <a:lnTo>
                  <a:pt x="64"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G386"/>
  <sheetViews>
    <sheetView showGridLines="0" showRowColHeaders="0" workbookViewId="0">
      <pane ySplit="1" topLeftCell="A2" activePane="bottomLeft" state="frozen"/>
      <selection pane="bottomLeft"/>
    </sheetView>
  </sheetViews>
  <sheetFormatPr defaultColWidth="0" defaultRowHeight="12.75" zeroHeight="1" x14ac:dyDescent="0.2"/>
  <cols>
    <col min="1" max="1" width="16.5703125" hidden="1" customWidth="1"/>
    <col min="2" max="2" width="15.42578125" style="27" hidden="1" customWidth="1"/>
    <col min="3" max="3" width="5.42578125" hidden="1" customWidth="1"/>
    <col min="4" max="4" width="9.85546875" hidden="1" customWidth="1"/>
    <col min="5" max="5" width="6.42578125" hidden="1" customWidth="1"/>
    <col min="6" max="6" width="5" hidden="1" customWidth="1"/>
    <col min="7" max="7" width="9.42578125" hidden="1" customWidth="1"/>
    <col min="8" max="8" width="12.5703125" style="49" hidden="1" customWidth="1"/>
    <col min="9" max="9" width="10.42578125" hidden="1" customWidth="1"/>
    <col min="10" max="11" width="10.140625" style="37" hidden="1" customWidth="1"/>
    <col min="12" max="20" width="8.42578125" style="37" hidden="1" customWidth="1"/>
    <col min="21" max="24" width="9.140625" style="37" hidden="1" customWidth="1"/>
    <col min="25" max="25" width="9.85546875" hidden="1" customWidth="1"/>
    <col min="26" max="27" width="10.5703125" hidden="1" customWidth="1"/>
    <col min="28" max="28" width="12.7109375" hidden="1" customWidth="1"/>
    <col min="29" max="29" width="12.85546875" hidden="1" customWidth="1"/>
  </cols>
  <sheetData>
    <row r="1" spans="1:33" hidden="1" x14ac:dyDescent="0.2">
      <c r="A1" s="46" t="s">
        <v>82</v>
      </c>
      <c r="B1" s="47" t="s">
        <v>83</v>
      </c>
      <c r="C1" s="46"/>
      <c r="D1" s="46" t="s">
        <v>1876</v>
      </c>
      <c r="E1" s="46" t="s">
        <v>1877</v>
      </c>
      <c r="F1" s="46" t="s">
        <v>2619</v>
      </c>
      <c r="G1" s="46" t="s">
        <v>1878</v>
      </c>
      <c r="H1" s="54" t="s">
        <v>2181</v>
      </c>
      <c r="I1" s="46" t="s">
        <v>1540</v>
      </c>
      <c r="J1" s="89" t="s">
        <v>2182</v>
      </c>
      <c r="K1" s="89" t="s">
        <v>2183</v>
      </c>
      <c r="L1" s="89" t="s">
        <v>2184</v>
      </c>
      <c r="M1" s="89" t="s">
        <v>2185</v>
      </c>
      <c r="N1" s="89" t="s">
        <v>2186</v>
      </c>
      <c r="O1" s="89" t="s">
        <v>2187</v>
      </c>
      <c r="P1" s="89" t="s">
        <v>2188</v>
      </c>
      <c r="Q1" s="89" t="s">
        <v>68</v>
      </c>
      <c r="R1" s="89" t="s">
        <v>69</v>
      </c>
      <c r="S1" s="89" t="s">
        <v>70</v>
      </c>
      <c r="T1" s="89" t="s">
        <v>71</v>
      </c>
      <c r="U1" s="89" t="s">
        <v>880</v>
      </c>
      <c r="V1" s="89" t="s">
        <v>881</v>
      </c>
      <c r="W1" s="89" t="s">
        <v>882</v>
      </c>
      <c r="X1" s="89" t="s">
        <v>883</v>
      </c>
      <c r="Y1" s="46" t="s">
        <v>884</v>
      </c>
      <c r="Z1" s="46" t="s">
        <v>885</v>
      </c>
      <c r="AA1" s="46" t="s">
        <v>886</v>
      </c>
      <c r="AB1" s="46" t="s">
        <v>887</v>
      </c>
      <c r="AC1" s="48" t="s">
        <v>2540</v>
      </c>
    </row>
    <row r="2" spans="1:33" hidden="1" x14ac:dyDescent="0.2">
      <c r="A2" s="30" t="s">
        <v>1654</v>
      </c>
      <c r="B2" s="51">
        <f>Opci!G14</f>
        <v>2009</v>
      </c>
      <c r="D2" t="s">
        <v>439</v>
      </c>
      <c r="E2">
        <v>1</v>
      </c>
      <c r="F2">
        <f>Bilanca!I10</f>
        <v>1</v>
      </c>
      <c r="G2" t="str">
        <f>IF(Bilanca!J10=0,"",Bilanca!J10)</f>
        <v/>
      </c>
      <c r="H2" s="49">
        <f t="shared" ref="H2:H65" si="0">J2/100*F2+2*K2/100*F2</f>
        <v>0</v>
      </c>
      <c r="I2" s="37">
        <f>ABS(ROUND(J2,0)-J2)+ABS(ROUND(K2,0)-K2)</f>
        <v>0</v>
      </c>
      <c r="J2" s="90">
        <f>Bilanca!K10</f>
        <v>0</v>
      </c>
      <c r="K2" s="91">
        <f>Bilanca!L10</f>
        <v>0</v>
      </c>
      <c r="L2" s="90"/>
      <c r="M2" s="92"/>
      <c r="N2" s="92"/>
      <c r="O2" s="92"/>
      <c r="P2" s="92"/>
      <c r="Q2" s="92"/>
      <c r="R2" s="92"/>
      <c r="S2" s="92"/>
      <c r="T2" s="92"/>
      <c r="U2" s="92"/>
      <c r="V2" s="92"/>
      <c r="W2" s="92"/>
      <c r="X2" s="91"/>
      <c r="Y2" s="30" t="str">
        <f>IF(ListaMB!D9&lt;&gt;"", TEXT(ListaMB!B9, "00000000"), "")</f>
        <v>00000000</v>
      </c>
      <c r="Z2" s="30" t="str">
        <f>IF(ListaMB!D9&lt;&gt;"", ListaMB!D9, "")</f>
        <v>Belupo d.d.</v>
      </c>
      <c r="AA2" s="30" t="str">
        <f>IF(ListaMB!D9&lt;&gt;"", ListaMB!I9, "")</f>
        <v>Koprivnica, Hrvatska</v>
      </c>
      <c r="AB2" s="31">
        <f>IF(ListaMB!D9&lt;&gt;"", ListaMB!K9, 0)</f>
        <v>1</v>
      </c>
      <c r="AC2">
        <f>LEN(Y2)+LEN(Z2)+LEN(AA2)+INT(AB2)</f>
        <v>40</v>
      </c>
      <c r="AD2" t="str">
        <f>IF(ListaMB!M9&lt;&gt;"", ListaMB!M9, "")</f>
        <v/>
      </c>
      <c r="AE2" t="str">
        <f>IF(ListaMB!N9&lt;&gt;"", ListaMB!N9, "")</f>
        <v/>
      </c>
      <c r="AF2" t="str">
        <f>IF(ListaMB!O9&lt;&gt;"", ListaMB!O9, "")</f>
        <v/>
      </c>
      <c r="AG2" t="str">
        <f>IF(ListaMB!P9&lt;&gt;"", ListaMB!P9, "")</f>
        <v/>
      </c>
    </row>
    <row r="3" spans="1:33" hidden="1" x14ac:dyDescent="0.2">
      <c r="A3" s="30" t="s">
        <v>2507</v>
      </c>
      <c r="B3" s="51" t="s">
        <v>2508</v>
      </c>
      <c r="D3" t="s">
        <v>439</v>
      </c>
      <c r="E3">
        <v>1</v>
      </c>
      <c r="F3">
        <f>Bilanca!I11</f>
        <v>2</v>
      </c>
      <c r="G3" t="str">
        <f>IF(Bilanca!J11=0,"",Bilanca!J11)</f>
        <v/>
      </c>
      <c r="H3" s="49">
        <f t="shared" si="0"/>
        <v>129069620</v>
      </c>
      <c r="I3">
        <f t="shared" ref="I3:I66" si="1">ABS(ROUND(J3,0)-J3)+ABS(ROUND(K3,0)-K3)</f>
        <v>0</v>
      </c>
      <c r="J3" s="90">
        <f>Bilanca!K11</f>
        <v>1986149000</v>
      </c>
      <c r="K3" s="91">
        <f>Bilanca!L11</f>
        <v>2233666000</v>
      </c>
      <c r="L3" s="90"/>
      <c r="M3" s="92"/>
      <c r="N3" s="92"/>
      <c r="O3" s="92"/>
      <c r="P3" s="92"/>
      <c r="Q3" s="92"/>
      <c r="R3" s="92"/>
      <c r="S3" s="92"/>
      <c r="T3" s="92"/>
      <c r="U3" s="92"/>
      <c r="V3" s="92"/>
      <c r="W3" s="92"/>
      <c r="X3" s="91"/>
      <c r="Y3" s="30" t="str">
        <f>IF(ListaMB!D10&lt;&gt;"", TEXT(ListaMB!B10, "00000000"), "")</f>
        <v>00000000</v>
      </c>
      <c r="Z3" s="30" t="str">
        <f>IF(ListaMB!D10&lt;&gt;"", ListaMB!D10, "")</f>
        <v>Danica d.o.o.</v>
      </c>
      <c r="AA3" s="30" t="str">
        <f>IF(ListaMB!D10&lt;&gt;"", ListaMB!I10, "")</f>
        <v>Koprivnica, Hrvatska</v>
      </c>
      <c r="AB3" s="31">
        <f>IF(ListaMB!D10&lt;&gt;"", ListaMB!K10, 0)</f>
        <v>1</v>
      </c>
      <c r="AC3">
        <f t="shared" ref="AC3:AC66" si="2">LEN(Y3)+LEN(Z3)+LEN(AA3)+INT(AB3)</f>
        <v>42</v>
      </c>
    </row>
    <row r="4" spans="1:33" hidden="1" x14ac:dyDescent="0.2">
      <c r="A4" s="30" t="s">
        <v>2509</v>
      </c>
      <c r="B4" s="51" t="s">
        <v>1813</v>
      </c>
      <c r="D4" t="s">
        <v>439</v>
      </c>
      <c r="E4">
        <v>1</v>
      </c>
      <c r="F4">
        <f>Bilanca!I12</f>
        <v>3</v>
      </c>
      <c r="G4" t="str">
        <f>IF(Bilanca!J12=0,"",Bilanca!J12)</f>
        <v/>
      </c>
      <c r="H4" s="49">
        <f t="shared" si="0"/>
        <v>30256710</v>
      </c>
      <c r="I4">
        <f t="shared" si="1"/>
        <v>0</v>
      </c>
      <c r="J4" s="90">
        <f>Bilanca!K12</f>
        <v>228437000</v>
      </c>
      <c r="K4" s="91">
        <f>Bilanca!L12</f>
        <v>390060000</v>
      </c>
      <c r="L4" s="90"/>
      <c r="M4" s="92"/>
      <c r="N4" s="92"/>
      <c r="O4" s="92"/>
      <c r="P4" s="92"/>
      <c r="Q4" s="92"/>
      <c r="R4" s="92"/>
      <c r="S4" s="92"/>
      <c r="T4" s="92"/>
      <c r="U4" s="92"/>
      <c r="V4" s="92"/>
      <c r="W4" s="92"/>
      <c r="X4" s="91"/>
      <c r="Y4" s="30" t="str">
        <f>IF(ListaMB!D11&lt;&gt;"", TEXT(ListaMB!B11, "00000000"), "")</f>
        <v>00000000</v>
      </c>
      <c r="Z4" s="30" t="str">
        <f>IF(ListaMB!D11&lt;&gt;"", ListaMB!D11, "")</f>
        <v>Lero d.o.o.</v>
      </c>
      <c r="AA4" s="30" t="str">
        <f>IF(ListaMB!D11&lt;&gt;"", ListaMB!I11, "")</f>
        <v>Rijeka, Hrvatska</v>
      </c>
      <c r="AB4" s="31">
        <f>IF(ListaMB!D11&lt;&gt;"", ListaMB!K11, 0)</f>
        <v>1</v>
      </c>
      <c r="AC4">
        <f t="shared" si="2"/>
        <v>36</v>
      </c>
    </row>
    <row r="5" spans="1:33" hidden="1" x14ac:dyDescent="0.2">
      <c r="A5" t="s">
        <v>81</v>
      </c>
      <c r="B5" s="27">
        <f>IF(ISNUMBER(Opci!C17), Opci!C17,0)</f>
        <v>11</v>
      </c>
      <c r="D5" t="s">
        <v>439</v>
      </c>
      <c r="E5">
        <v>1</v>
      </c>
      <c r="F5">
        <f>Bilanca!I13</f>
        <v>4</v>
      </c>
      <c r="G5" t="str">
        <f>IF(Bilanca!J13=0,"",Bilanca!J13)</f>
        <v/>
      </c>
      <c r="H5" s="49">
        <f t="shared" si="0"/>
        <v>0</v>
      </c>
      <c r="I5">
        <f t="shared" si="1"/>
        <v>0</v>
      </c>
      <c r="J5" s="90">
        <f>Bilanca!K13</f>
        <v>0</v>
      </c>
      <c r="K5" s="91">
        <f>Bilanca!L13</f>
        <v>0</v>
      </c>
      <c r="L5" s="90"/>
      <c r="M5" s="92"/>
      <c r="N5" s="92"/>
      <c r="O5" s="92"/>
      <c r="P5" s="92"/>
      <c r="Q5" s="92"/>
      <c r="R5" s="92"/>
      <c r="S5" s="92"/>
      <c r="T5" s="92"/>
      <c r="U5" s="92"/>
      <c r="V5" s="92"/>
      <c r="W5" s="92"/>
      <c r="X5" s="91"/>
      <c r="Y5" s="30" t="str">
        <f>IF(ListaMB!D12&lt;&gt;"", TEXT(ListaMB!B12, "00000000"), "")</f>
        <v>00000000</v>
      </c>
      <c r="Z5" s="30" t="str">
        <f>IF(ListaMB!D12&lt;&gt;"", ListaMB!D12, "")</f>
        <v>Poni trgovina d.o.o.</v>
      </c>
      <c r="AA5" s="30" t="str">
        <f>IF(ListaMB!D12&lt;&gt;"", ListaMB!I12, "")</f>
        <v>Koprivnica, Hrvatska</v>
      </c>
      <c r="AB5" s="31">
        <f>IF(ListaMB!D12&lt;&gt;"", ListaMB!K12, 0)</f>
        <v>1</v>
      </c>
      <c r="AC5">
        <f t="shared" si="2"/>
        <v>49</v>
      </c>
    </row>
    <row r="6" spans="1:33" hidden="1" x14ac:dyDescent="0.2">
      <c r="A6" t="s">
        <v>72</v>
      </c>
      <c r="B6" s="27" t="str">
        <f>Opci!C19</f>
        <v>03454088</v>
      </c>
      <c r="D6" t="s">
        <v>439</v>
      </c>
      <c r="E6">
        <v>1</v>
      </c>
      <c r="F6">
        <f>Bilanca!I14</f>
        <v>5</v>
      </c>
      <c r="G6" t="str">
        <f>IF(Bilanca!J14=0,"",Bilanca!J14)</f>
        <v/>
      </c>
      <c r="H6" s="49">
        <f t="shared" si="0"/>
        <v>36449550</v>
      </c>
      <c r="I6">
        <f t="shared" si="1"/>
        <v>0</v>
      </c>
      <c r="J6" s="90">
        <f>Bilanca!K14</f>
        <v>137283000</v>
      </c>
      <c r="K6" s="91">
        <f>Bilanca!L14</f>
        <v>295854000</v>
      </c>
      <c r="L6" s="90"/>
      <c r="M6" s="92"/>
      <c r="N6" s="92"/>
      <c r="O6" s="92"/>
      <c r="P6" s="92"/>
      <c r="Q6" s="92"/>
      <c r="R6" s="92"/>
      <c r="S6" s="92"/>
      <c r="T6" s="92"/>
      <c r="U6" s="92"/>
      <c r="V6" s="92"/>
      <c r="W6" s="92"/>
      <c r="X6" s="91"/>
      <c r="Y6" s="30" t="str">
        <f>IF(ListaMB!D13&lt;&gt;"", TEXT(ListaMB!B13, "00000000"), "")</f>
        <v>00000000</v>
      </c>
      <c r="Z6" s="30" t="str">
        <f>IF(ListaMB!D13&lt;&gt;"", ListaMB!D13, "")</f>
        <v>Podravka Inženjering d.o.o.</v>
      </c>
      <c r="AA6" s="30" t="str">
        <f>IF(ListaMB!D13&lt;&gt;"", ListaMB!I13, "")</f>
        <v>Koprivnica, Hrvatska</v>
      </c>
      <c r="AB6" s="31">
        <f>IF(ListaMB!D13&lt;&gt;"", ListaMB!K13, 0)</f>
        <v>1</v>
      </c>
      <c r="AC6">
        <f t="shared" si="2"/>
        <v>56</v>
      </c>
    </row>
    <row r="7" spans="1:33" hidden="1" x14ac:dyDescent="0.2">
      <c r="A7" t="s">
        <v>73</v>
      </c>
      <c r="B7" s="27" t="str">
        <f>Opci!C21</f>
        <v>010006549</v>
      </c>
      <c r="D7" t="s">
        <v>439</v>
      </c>
      <c r="E7">
        <v>1</v>
      </c>
      <c r="F7">
        <f>Bilanca!I15</f>
        <v>6</v>
      </c>
      <c r="G7" t="str">
        <f>IF(Bilanca!J15=0,"",Bilanca!J15)</f>
        <v/>
      </c>
      <c r="H7" s="49">
        <f t="shared" si="0"/>
        <v>7559580</v>
      </c>
      <c r="I7">
        <f t="shared" si="1"/>
        <v>0</v>
      </c>
      <c r="J7" s="90">
        <f>Bilanca!K15</f>
        <v>29137000</v>
      </c>
      <c r="K7" s="91">
        <f>Bilanca!L15</f>
        <v>48428000</v>
      </c>
      <c r="L7" s="90"/>
      <c r="M7" s="92"/>
      <c r="N7" s="92"/>
      <c r="O7" s="92"/>
      <c r="P7" s="92"/>
      <c r="Q7" s="92"/>
      <c r="R7" s="92"/>
      <c r="S7" s="92"/>
      <c r="T7" s="92"/>
      <c r="U7" s="92"/>
      <c r="V7" s="92"/>
      <c r="W7" s="92"/>
      <c r="X7" s="91"/>
      <c r="Y7" s="30" t="str">
        <f>IF(ListaMB!D14&lt;&gt;"", TEXT(ListaMB!B14, "00000000"), "")</f>
        <v>00000000</v>
      </c>
      <c r="Z7" s="30" t="str">
        <f>IF(ListaMB!D14&lt;&gt;"", ListaMB!D14, "")</f>
        <v>Koprivnička tiskarnica nekretnine d.o.o.</v>
      </c>
      <c r="AA7" s="30" t="str">
        <f>IF(ListaMB!D14&lt;&gt;"", ListaMB!I14, "")</f>
        <v>Koprivnica, Hrvatska</v>
      </c>
      <c r="AB7" s="31">
        <f>IF(ListaMB!D14&lt;&gt;"", ListaMB!K14, 0)</f>
        <v>1</v>
      </c>
      <c r="AC7">
        <f t="shared" si="2"/>
        <v>69</v>
      </c>
    </row>
    <row r="8" spans="1:33" hidden="1" x14ac:dyDescent="0.2">
      <c r="A8" t="s">
        <v>1762</v>
      </c>
      <c r="B8" s="27" t="str">
        <f>Opci!C23</f>
        <v>18928523252</v>
      </c>
      <c r="D8" t="s">
        <v>439</v>
      </c>
      <c r="E8">
        <v>1</v>
      </c>
      <c r="F8">
        <f>Bilanca!I16</f>
        <v>7</v>
      </c>
      <c r="G8" t="str">
        <f>IF(Bilanca!J16=0,"",Bilanca!J16)</f>
        <v/>
      </c>
      <c r="H8" s="49">
        <f t="shared" si="0"/>
        <v>0</v>
      </c>
      <c r="I8">
        <f t="shared" si="1"/>
        <v>0</v>
      </c>
      <c r="J8" s="90">
        <f>Bilanca!K16</f>
        <v>0</v>
      </c>
      <c r="K8" s="91">
        <f>Bilanca!L16</f>
        <v>0</v>
      </c>
      <c r="L8" s="90"/>
      <c r="M8" s="92"/>
      <c r="N8" s="92"/>
      <c r="O8" s="92"/>
      <c r="P8" s="92"/>
      <c r="Q8" s="92"/>
      <c r="R8" s="92"/>
      <c r="S8" s="92"/>
      <c r="T8" s="92"/>
      <c r="U8" s="92"/>
      <c r="V8" s="92"/>
      <c r="W8" s="92"/>
      <c r="X8" s="91"/>
      <c r="Y8" s="30" t="str">
        <f>IF(ListaMB!D15&lt;&gt;"", TEXT(ListaMB!B15, "00000000"), "")</f>
        <v>00000000</v>
      </c>
      <c r="Z8" s="30" t="str">
        <f>IF(ListaMB!D15&lt;&gt;"", ListaMB!D15, "")</f>
        <v xml:space="preserve">Ital-Ice d.o.o. </v>
      </c>
      <c r="AA8" s="30" t="str">
        <f>IF(ListaMB!D15&lt;&gt;"", ListaMB!I15, "")</f>
        <v>Poreč, Hrvatska</v>
      </c>
      <c r="AB8" s="31">
        <f>IF(ListaMB!D15&lt;&gt;"", ListaMB!K15, 0)</f>
        <v>1</v>
      </c>
      <c r="AC8">
        <f t="shared" si="2"/>
        <v>40</v>
      </c>
    </row>
    <row r="9" spans="1:33" hidden="1" x14ac:dyDescent="0.2">
      <c r="A9" t="s">
        <v>74</v>
      </c>
      <c r="B9" s="27" t="str">
        <f>TRIM(Opci!C25)</f>
        <v>PODRAVKA GRUPA</v>
      </c>
      <c r="D9" t="s">
        <v>439</v>
      </c>
      <c r="E9">
        <v>1</v>
      </c>
      <c r="F9">
        <f>Bilanca!I17</f>
        <v>8</v>
      </c>
      <c r="G9" t="str">
        <f>IF(Bilanca!J17=0,"",Bilanca!J17)</f>
        <v/>
      </c>
      <c r="H9" s="49">
        <f t="shared" si="0"/>
        <v>12285840</v>
      </c>
      <c r="I9">
        <f t="shared" si="1"/>
        <v>0</v>
      </c>
      <c r="J9" s="90">
        <f>Bilanca!K17</f>
        <v>62017000</v>
      </c>
      <c r="K9" s="91">
        <f>Bilanca!L17</f>
        <v>45778000</v>
      </c>
      <c r="L9" s="90"/>
      <c r="M9" s="92"/>
      <c r="N9" s="92"/>
      <c r="O9" s="92"/>
      <c r="P9" s="92"/>
      <c r="Q9" s="92"/>
      <c r="R9" s="92"/>
      <c r="S9" s="92"/>
      <c r="T9" s="92"/>
      <c r="U9" s="92"/>
      <c r="V9" s="92"/>
      <c r="W9" s="92"/>
      <c r="X9" s="91"/>
      <c r="Y9" s="30" t="str">
        <f>IF(ListaMB!D16&lt;&gt;"", TEXT(ListaMB!B16, "00000000"), "")</f>
        <v>00000000</v>
      </c>
      <c r="Z9" s="30" t="str">
        <f>IF(ListaMB!D16&lt;&gt;"", ListaMB!D16, "")</f>
        <v>Podravsko ugostiteljstvo</v>
      </c>
      <c r="AA9" s="30" t="str">
        <f>IF(ListaMB!D16&lt;&gt;"", ListaMB!I16, "")</f>
        <v>Koprivnica, Hrvatska</v>
      </c>
      <c r="AB9" s="31">
        <f>IF(ListaMB!D16&lt;&gt;"", ListaMB!K16, 0)</f>
        <v>1</v>
      </c>
      <c r="AC9">
        <f t="shared" si="2"/>
        <v>53</v>
      </c>
    </row>
    <row r="10" spans="1:33" hidden="1" x14ac:dyDescent="0.2">
      <c r="A10" t="s">
        <v>75</v>
      </c>
      <c r="B10" s="27" t="str">
        <f>TEXT(Opci!C27, "00000")</f>
        <v>48000</v>
      </c>
      <c r="D10" t="s">
        <v>439</v>
      </c>
      <c r="E10">
        <v>1</v>
      </c>
      <c r="F10">
        <f>Bilanca!I18</f>
        <v>9</v>
      </c>
      <c r="G10" t="str">
        <f>IF(Bilanca!J18=0,"",Bilanca!J18)</f>
        <v/>
      </c>
      <c r="H10" s="49">
        <f t="shared" si="0"/>
        <v>0</v>
      </c>
      <c r="I10">
        <f t="shared" si="1"/>
        <v>0</v>
      </c>
      <c r="J10" s="90">
        <f>Bilanca!K18</f>
        <v>0</v>
      </c>
      <c r="K10" s="91">
        <f>Bilanca!L18</f>
        <v>0</v>
      </c>
      <c r="L10" s="90"/>
      <c r="M10" s="92"/>
      <c r="N10" s="92"/>
      <c r="O10" s="92"/>
      <c r="P10" s="92"/>
      <c r="Q10" s="92"/>
      <c r="R10" s="92"/>
      <c r="S10" s="92"/>
      <c r="T10" s="92"/>
      <c r="U10" s="92"/>
      <c r="V10" s="92"/>
      <c r="W10" s="92"/>
      <c r="X10" s="91"/>
      <c r="Y10" s="30" t="str">
        <f>IF(ListaMB!D17&lt;&gt;"", TEXT(ListaMB!B17, "00000000"), "")</f>
        <v>00000000</v>
      </c>
      <c r="Z10" s="30" t="str">
        <f>IF(ListaMB!D17&lt;&gt;"", ListaMB!D17, "")</f>
        <v xml:space="preserve">Sana d.o.o. </v>
      </c>
      <c r="AA10" s="30" t="str">
        <f>IF(ListaMB!D17&lt;&gt;"", ListaMB!I17, "")</f>
        <v>Hoče, Slovenija</v>
      </c>
      <c r="AB10" s="31">
        <f>IF(ListaMB!D17&lt;&gt;"", ListaMB!K17, 0)</f>
        <v>1</v>
      </c>
      <c r="AC10">
        <f t="shared" si="2"/>
        <v>36</v>
      </c>
    </row>
    <row r="11" spans="1:33" hidden="1" x14ac:dyDescent="0.2">
      <c r="A11" t="s">
        <v>76</v>
      </c>
      <c r="B11" s="27" t="str">
        <f>TRIM(Opci!F27)</f>
        <v>KOPRIVNICA</v>
      </c>
      <c r="D11" t="s">
        <v>439</v>
      </c>
      <c r="E11">
        <v>1</v>
      </c>
      <c r="F11">
        <f>Bilanca!I19</f>
        <v>10</v>
      </c>
      <c r="G11" t="str">
        <f>IF(Bilanca!J19=0,"",Bilanca!J19)</f>
        <v/>
      </c>
      <c r="H11" s="49">
        <f t="shared" si="0"/>
        <v>515587700</v>
      </c>
      <c r="I11">
        <f t="shared" si="1"/>
        <v>0</v>
      </c>
      <c r="J11" s="90">
        <f>Bilanca!K19</f>
        <v>1665407000</v>
      </c>
      <c r="K11" s="91">
        <f>Bilanca!L19</f>
        <v>1745235000</v>
      </c>
      <c r="L11" s="90"/>
      <c r="M11" s="92"/>
      <c r="N11" s="92"/>
      <c r="O11" s="92"/>
      <c r="P11" s="92"/>
      <c r="Q11" s="92"/>
      <c r="R11" s="92"/>
      <c r="S11" s="92"/>
      <c r="T11" s="92"/>
      <c r="U11" s="92"/>
      <c r="V11" s="92"/>
      <c r="W11" s="92"/>
      <c r="X11" s="91"/>
      <c r="Y11" s="30" t="str">
        <f>IF(ListaMB!D18&lt;&gt;"", TEXT(ListaMB!B18, "00000000"), "")</f>
        <v>00000000</v>
      </c>
      <c r="Z11" s="30" t="str">
        <f>IF(ListaMB!D18&lt;&gt;"", ListaMB!D18, "")</f>
        <v>Podravka d.o.o.</v>
      </c>
      <c r="AA11" s="30" t="str">
        <f>IF(ListaMB!D18&lt;&gt;"", ListaMB!I18, "")</f>
        <v>Ljubljana, Slovenija</v>
      </c>
      <c r="AB11" s="31">
        <f>IF(ListaMB!D18&lt;&gt;"", ListaMB!K18, 0)</f>
        <v>1</v>
      </c>
      <c r="AC11">
        <f t="shared" si="2"/>
        <v>44</v>
      </c>
    </row>
    <row r="12" spans="1:33" hidden="1" x14ac:dyDescent="0.2">
      <c r="A12" t="s">
        <v>77</v>
      </c>
      <c r="B12" s="27" t="str">
        <f>TRIM(Opci!C29)</f>
        <v>Ante Starčevića 32</v>
      </c>
      <c r="D12" t="s">
        <v>439</v>
      </c>
      <c r="E12">
        <v>1</v>
      </c>
      <c r="F12">
        <f>Bilanca!I20</f>
        <v>11</v>
      </c>
      <c r="G12" t="str">
        <f>IF(Bilanca!J20=0,"",Bilanca!J20)</f>
        <v/>
      </c>
      <c r="H12" s="49">
        <f t="shared" si="0"/>
        <v>57786410</v>
      </c>
      <c r="I12">
        <f t="shared" si="1"/>
        <v>0</v>
      </c>
      <c r="J12" s="90">
        <f>Bilanca!K20</f>
        <v>154897000</v>
      </c>
      <c r="K12" s="91">
        <f>Bilanca!L20</f>
        <v>185217000</v>
      </c>
      <c r="L12" s="90"/>
      <c r="M12" s="92"/>
      <c r="N12" s="92"/>
      <c r="O12" s="92"/>
      <c r="P12" s="92"/>
      <c r="Q12" s="92"/>
      <c r="R12" s="92"/>
      <c r="S12" s="92"/>
      <c r="T12" s="92"/>
      <c r="U12" s="92"/>
      <c r="V12" s="92"/>
      <c r="W12" s="92"/>
      <c r="X12" s="91"/>
      <c r="Y12" s="30" t="str">
        <f>IF(ListaMB!D19&lt;&gt;"", TEXT(ListaMB!B19, "00000000"), "")</f>
        <v>00000000</v>
      </c>
      <c r="Z12" s="30" t="str">
        <f>IF(ListaMB!D19&lt;&gt;"", ListaMB!D19, "")</f>
        <v>Podravka d.o.o.</v>
      </c>
      <c r="AA12" s="30" t="str">
        <f>IF(ListaMB!D19&lt;&gt;"", ListaMB!I19, "")</f>
        <v>Beograd, Srbija</v>
      </c>
      <c r="AB12" s="31">
        <f>IF(ListaMB!D19&lt;&gt;"", ListaMB!K19, 0)</f>
        <v>1</v>
      </c>
      <c r="AC12">
        <f t="shared" si="2"/>
        <v>39</v>
      </c>
    </row>
    <row r="13" spans="1:33" hidden="1" x14ac:dyDescent="0.2">
      <c r="A13" t="s">
        <v>1763</v>
      </c>
      <c r="B13" s="27" t="str">
        <f>TRIM(Opci!C31)</f>
        <v>draga.celiscak@podravka.hr</v>
      </c>
      <c r="D13" t="s">
        <v>439</v>
      </c>
      <c r="E13">
        <v>1</v>
      </c>
      <c r="F13">
        <f>Bilanca!I21</f>
        <v>12</v>
      </c>
      <c r="G13" t="str">
        <f>IF(Bilanca!J21=0,"",Bilanca!J21)</f>
        <v/>
      </c>
      <c r="H13" s="49">
        <f t="shared" si="0"/>
        <v>345929400</v>
      </c>
      <c r="I13">
        <f t="shared" si="1"/>
        <v>0</v>
      </c>
      <c r="J13" s="90">
        <f>Bilanca!K21</f>
        <v>906649000</v>
      </c>
      <c r="K13" s="91">
        <f>Bilanca!L21</f>
        <v>988048000</v>
      </c>
      <c r="L13" s="90"/>
      <c r="M13" s="92"/>
      <c r="N13" s="92"/>
      <c r="O13" s="92"/>
      <c r="P13" s="92"/>
      <c r="Q13" s="92"/>
      <c r="R13" s="92"/>
      <c r="S13" s="92"/>
      <c r="T13" s="92"/>
      <c r="U13" s="92"/>
      <c r="V13" s="92"/>
      <c r="W13" s="92"/>
      <c r="X13" s="91"/>
      <c r="Y13" s="30" t="str">
        <f>IF(ListaMB!D20&lt;&gt;"", TEXT(ListaMB!B20, "00000000"), "")</f>
        <v>00000000</v>
      </c>
      <c r="Z13" s="30" t="str">
        <f>IF(ListaMB!D20&lt;&gt;"", ListaMB!D20, "")</f>
        <v>Podravka d.o.e.l.</v>
      </c>
      <c r="AA13" s="30" t="str">
        <f>IF(ListaMB!D20&lt;&gt;"", ListaMB!I20, "")</f>
        <v>Skopje, Makedonija</v>
      </c>
      <c r="AB13" s="31">
        <f>IF(ListaMB!D20&lt;&gt;"", ListaMB!K20, 0)</f>
        <v>1</v>
      </c>
      <c r="AC13">
        <f t="shared" si="2"/>
        <v>44</v>
      </c>
    </row>
    <row r="14" spans="1:33" hidden="1" x14ac:dyDescent="0.2">
      <c r="A14" t="s">
        <v>1764</v>
      </c>
      <c r="B14" s="27" t="str">
        <f>TRIM(Opci!C33)</f>
        <v>www.podravka.hr</v>
      </c>
      <c r="D14" t="s">
        <v>439</v>
      </c>
      <c r="E14">
        <v>1</v>
      </c>
      <c r="F14">
        <f>Bilanca!I22</f>
        <v>13</v>
      </c>
      <c r="G14" t="str">
        <f>IF(Bilanca!J22=0,"",Bilanca!J22)</f>
        <v/>
      </c>
      <c r="H14" s="49">
        <f t="shared" si="0"/>
        <v>163329270</v>
      </c>
      <c r="I14">
        <f t="shared" si="1"/>
        <v>0</v>
      </c>
      <c r="J14" s="90">
        <f>Bilanca!K22</f>
        <v>372231000</v>
      </c>
      <c r="K14" s="91">
        <f>Bilanca!L22</f>
        <v>442074000</v>
      </c>
      <c r="L14" s="90"/>
      <c r="M14" s="92"/>
      <c r="N14" s="92"/>
      <c r="O14" s="92"/>
      <c r="P14" s="92"/>
      <c r="Q14" s="92"/>
      <c r="R14" s="92"/>
      <c r="S14" s="92"/>
      <c r="T14" s="92"/>
      <c r="U14" s="92"/>
      <c r="V14" s="92"/>
      <c r="W14" s="92"/>
      <c r="X14" s="91"/>
      <c r="Y14" s="30" t="str">
        <f>IF(ListaMB!D21&lt;&gt;"", TEXT(ListaMB!B21, "00000000"), "")</f>
        <v>00000000</v>
      </c>
      <c r="Z14" s="30" t="str">
        <f>IF(ListaMB!D21&lt;&gt;"", ListaMB!D21, "")</f>
        <v>Podravka d.o.o.</v>
      </c>
      <c r="AA14" s="30" t="str">
        <f>IF(ListaMB!D21&lt;&gt;"", ListaMB!I21, "")</f>
        <v>Sarajevo, Bosna i Hercegovina</v>
      </c>
      <c r="AB14" s="31">
        <f>IF(ListaMB!D21&lt;&gt;"", ListaMB!K21, 0)</f>
        <v>1</v>
      </c>
      <c r="AC14">
        <f t="shared" si="2"/>
        <v>53</v>
      </c>
    </row>
    <row r="15" spans="1:33" hidden="1" x14ac:dyDescent="0.2">
      <c r="A15" t="s">
        <v>80</v>
      </c>
      <c r="B15" s="27" t="str">
        <f>TEXT(Opci!C37,"00")</f>
        <v>06</v>
      </c>
      <c r="D15" t="s">
        <v>439</v>
      </c>
      <c r="E15">
        <v>1</v>
      </c>
      <c r="F15">
        <f>Bilanca!I23</f>
        <v>14</v>
      </c>
      <c r="G15" t="str">
        <f>IF(Bilanca!J23=0,"",Bilanca!J23)</f>
        <v/>
      </c>
      <c r="H15" s="49">
        <f t="shared" si="0"/>
        <v>9177980</v>
      </c>
      <c r="I15">
        <f t="shared" si="1"/>
        <v>0</v>
      </c>
      <c r="J15" s="90">
        <f>Bilanca!K23</f>
        <v>21013000</v>
      </c>
      <c r="K15" s="91">
        <f>Bilanca!L23</f>
        <v>22272000</v>
      </c>
      <c r="L15" s="90"/>
      <c r="M15" s="92"/>
      <c r="N15" s="92"/>
      <c r="O15" s="92"/>
      <c r="P15" s="92"/>
      <c r="Q15" s="92"/>
      <c r="R15" s="92"/>
      <c r="S15" s="92"/>
      <c r="T15" s="92"/>
      <c r="U15" s="92"/>
      <c r="V15" s="92"/>
      <c r="W15" s="92"/>
      <c r="X15" s="91"/>
      <c r="Y15" s="30" t="str">
        <f>IF(ListaMB!D22&lt;&gt;"", TEXT(ListaMB!B22, "00000000"), "")</f>
        <v>00000000</v>
      </c>
      <c r="Z15" s="30" t="str">
        <f>IF(ListaMB!D22&lt;&gt;"", ListaMB!D22, "")</f>
        <v>Podravka-International Deutschland - Konar GmbH</v>
      </c>
      <c r="AA15" s="30" t="str">
        <f>IF(ListaMB!D22&lt;&gt;"", ListaMB!I22, "")</f>
        <v>Geretsried, Njemačka</v>
      </c>
      <c r="AB15" s="31">
        <f>IF(ListaMB!D22&lt;&gt;"", ListaMB!K22, 0)</f>
        <v>1</v>
      </c>
      <c r="AC15">
        <f t="shared" si="2"/>
        <v>76</v>
      </c>
    </row>
    <row r="16" spans="1:33" hidden="1" x14ac:dyDescent="0.2">
      <c r="A16" t="s">
        <v>79</v>
      </c>
      <c r="B16" s="27" t="str">
        <f>TEXT(Opci!C35, "000")</f>
        <v>201</v>
      </c>
      <c r="D16" t="s">
        <v>439</v>
      </c>
      <c r="E16">
        <v>1</v>
      </c>
      <c r="F16">
        <f>Bilanca!I24</f>
        <v>15</v>
      </c>
      <c r="G16" t="str">
        <f>IF(Bilanca!J24=0,"",Bilanca!J24)</f>
        <v/>
      </c>
      <c r="H16" s="49">
        <f t="shared" si="0"/>
        <v>0</v>
      </c>
      <c r="I16">
        <f t="shared" si="1"/>
        <v>0</v>
      </c>
      <c r="J16" s="90">
        <f>Bilanca!K24</f>
        <v>0</v>
      </c>
      <c r="K16" s="91">
        <f>Bilanca!L24</f>
        <v>0</v>
      </c>
      <c r="L16" s="90"/>
      <c r="M16" s="92"/>
      <c r="N16" s="92"/>
      <c r="O16" s="92"/>
      <c r="P16" s="92"/>
      <c r="Q16" s="92"/>
      <c r="R16" s="92"/>
      <c r="S16" s="92"/>
      <c r="T16" s="92"/>
      <c r="U16" s="92"/>
      <c r="V16" s="92"/>
      <c r="W16" s="92"/>
      <c r="X16" s="91"/>
      <c r="Y16" s="30" t="str">
        <f>IF(ListaMB!D23&lt;&gt;"", TEXT(ListaMB!B23, "00000000"), "")</f>
        <v>00000000</v>
      </c>
      <c r="Z16" s="30" t="str">
        <f>IF(ListaMB!D23&lt;&gt;"", ListaMB!D23, "")</f>
        <v>Podravka-International kft</v>
      </c>
      <c r="AA16" s="30" t="str">
        <f>IF(ListaMB!D23&lt;&gt;"", ListaMB!I23, "")</f>
        <v>Budimpešta, Mađarska</v>
      </c>
      <c r="AB16" s="31">
        <f>IF(ListaMB!D23&lt;&gt;"", ListaMB!K23, 0)</f>
        <v>1</v>
      </c>
      <c r="AC16">
        <f t="shared" si="2"/>
        <v>55</v>
      </c>
    </row>
    <row r="17" spans="1:29" hidden="1" x14ac:dyDescent="0.2">
      <c r="A17" t="s">
        <v>78</v>
      </c>
      <c r="B17" s="27" t="str">
        <f>Opci!C39</f>
        <v>1039</v>
      </c>
      <c r="D17" t="s">
        <v>439</v>
      </c>
      <c r="E17">
        <v>1</v>
      </c>
      <c r="F17">
        <f>Bilanca!I25</f>
        <v>16</v>
      </c>
      <c r="G17" t="str">
        <f>IF(Bilanca!J25=0,"",Bilanca!J25)</f>
        <v/>
      </c>
      <c r="H17" s="49">
        <f t="shared" si="0"/>
        <v>600000</v>
      </c>
      <c r="I17">
        <f t="shared" si="1"/>
        <v>0</v>
      </c>
      <c r="J17" s="90">
        <f>Bilanca!K25</f>
        <v>2762000</v>
      </c>
      <c r="K17" s="91">
        <f>Bilanca!L25</f>
        <v>494000</v>
      </c>
      <c r="L17" s="90"/>
      <c r="M17" s="92"/>
      <c r="N17" s="92"/>
      <c r="O17" s="92"/>
      <c r="P17" s="92"/>
      <c r="Q17" s="92"/>
      <c r="R17" s="92"/>
      <c r="S17" s="92"/>
      <c r="T17" s="92"/>
      <c r="U17" s="92"/>
      <c r="V17" s="92"/>
      <c r="W17" s="92"/>
      <c r="X17" s="91"/>
      <c r="Y17" s="30" t="str">
        <f>IF(ListaMB!D24&lt;&gt;"", TEXT(ListaMB!B24, "00000000"), "")</f>
        <v>00000000</v>
      </c>
      <c r="Z17" s="30" t="str">
        <f>IF(ListaMB!D24&lt;&gt;"", ListaMB!D24, "")</f>
        <v>Podravka-International e.o.o.d.</v>
      </c>
      <c r="AA17" s="30" t="str">
        <f>IF(ListaMB!D24&lt;&gt;"", ListaMB!I24, "")</f>
        <v>Sofia, Bugarska</v>
      </c>
      <c r="AB17" s="31">
        <f>IF(ListaMB!D24&lt;&gt;"", ListaMB!K24, 0)</f>
        <v>1</v>
      </c>
      <c r="AC17">
        <f t="shared" si="2"/>
        <v>55</v>
      </c>
    </row>
    <row r="18" spans="1:29" hidden="1" x14ac:dyDescent="0.2">
      <c r="A18" t="s">
        <v>1765</v>
      </c>
      <c r="B18" s="27" t="str">
        <f>IF(Opci!C41&lt;&gt;"",Opci!C41,"")</f>
        <v>DA</v>
      </c>
      <c r="D18" t="s">
        <v>439</v>
      </c>
      <c r="E18">
        <v>1</v>
      </c>
      <c r="F18">
        <f>Bilanca!I26</f>
        <v>17</v>
      </c>
      <c r="G18" t="str">
        <f>IF(Bilanca!J26=0,"",Bilanca!J26)</f>
        <v/>
      </c>
      <c r="H18" s="49">
        <f t="shared" si="0"/>
        <v>70113950</v>
      </c>
      <c r="I18">
        <f t="shared" si="1"/>
        <v>0</v>
      </c>
      <c r="J18" s="90">
        <f>Bilanca!K26</f>
        <v>204625000</v>
      </c>
      <c r="K18" s="91">
        <f>Bilanca!L26</f>
        <v>103905000</v>
      </c>
      <c r="L18" s="90"/>
      <c r="M18" s="92"/>
      <c r="N18" s="92"/>
      <c r="O18" s="92"/>
      <c r="P18" s="92"/>
      <c r="Q18" s="92"/>
      <c r="R18" s="92"/>
      <c r="S18" s="92"/>
      <c r="T18" s="92"/>
      <c r="U18" s="92"/>
      <c r="V18" s="92"/>
      <c r="W18" s="92"/>
      <c r="X18" s="91"/>
      <c r="Y18" s="30" t="str">
        <f>IF(ListaMB!D25&lt;&gt;"", TEXT(ListaMB!B25, "00000000"), "")</f>
        <v>00000000</v>
      </c>
      <c r="Z18" s="30" t="str">
        <f>IF(ListaMB!D25&lt;&gt;"", ListaMB!D25, "")</f>
        <v>Podravka-International Pty Ltd</v>
      </c>
      <c r="AA18" s="30" t="str">
        <f>IF(ListaMB!D25&lt;&gt;"", ListaMB!I25, "")</f>
        <v>Sydney, Australija</v>
      </c>
      <c r="AB18" s="31">
        <f>IF(ListaMB!D25&lt;&gt;"", ListaMB!K25, 0)</f>
        <v>1</v>
      </c>
      <c r="AC18">
        <f t="shared" si="2"/>
        <v>57</v>
      </c>
    </row>
    <row r="19" spans="1:29" hidden="1" x14ac:dyDescent="0.2">
      <c r="A19" t="s">
        <v>1767</v>
      </c>
      <c r="B19" s="27" t="str">
        <f>IF(Opci!C43&lt;&gt;"",Opci!C43,"")</f>
        <v>NE</v>
      </c>
      <c r="D19" t="s">
        <v>439</v>
      </c>
      <c r="E19">
        <v>1</v>
      </c>
      <c r="F19">
        <f>Bilanca!I27</f>
        <v>18</v>
      </c>
      <c r="G19" t="str">
        <f>IF(Bilanca!J27=0,"",Bilanca!J27)</f>
        <v/>
      </c>
      <c r="H19" s="49">
        <f t="shared" si="0"/>
        <v>1742400</v>
      </c>
      <c r="I19">
        <f t="shared" si="1"/>
        <v>0</v>
      </c>
      <c r="J19" s="90">
        <f>Bilanca!K27</f>
        <v>3230000</v>
      </c>
      <c r="K19" s="91">
        <f>Bilanca!L27</f>
        <v>3225000</v>
      </c>
      <c r="L19" s="90"/>
      <c r="M19" s="92"/>
      <c r="N19" s="92"/>
      <c r="O19" s="92"/>
      <c r="P19" s="92"/>
      <c r="Q19" s="92"/>
      <c r="R19" s="92"/>
      <c r="S19" s="92"/>
      <c r="T19" s="92"/>
      <c r="U19" s="92"/>
      <c r="V19" s="92"/>
      <c r="W19" s="92"/>
      <c r="X19" s="91"/>
      <c r="Y19" s="30" t="str">
        <f>IF(ListaMB!D26&lt;&gt;"", TEXT(ListaMB!B26, "00000000"), "")</f>
        <v>00000000</v>
      </c>
      <c r="Z19" s="30" t="str">
        <f>IF(ListaMB!D26&lt;&gt;"", ListaMB!D26, "")</f>
        <v>Podravka-International s r.o.</v>
      </c>
      <c r="AA19" s="30" t="str">
        <f>IF(ListaMB!D26&lt;&gt;"", ListaMB!I26, "")</f>
        <v>Bratislava, Slovačka</v>
      </c>
      <c r="AB19" s="31">
        <f>IF(ListaMB!D26&lt;&gt;"", ListaMB!K26, 0)</f>
        <v>0.75</v>
      </c>
      <c r="AC19">
        <f t="shared" si="2"/>
        <v>57</v>
      </c>
    </row>
    <row r="20" spans="1:29" hidden="1" x14ac:dyDescent="0.2">
      <c r="A20" t="s">
        <v>1768</v>
      </c>
      <c r="B20" s="27">
        <f>Opci!C45</f>
        <v>2</v>
      </c>
      <c r="D20" t="s">
        <v>439</v>
      </c>
      <c r="E20">
        <v>1</v>
      </c>
      <c r="F20">
        <f>Bilanca!I28</f>
        <v>19</v>
      </c>
      <c r="G20" t="str">
        <f>IF(Bilanca!J28=0,"",Bilanca!J28)</f>
        <v/>
      </c>
      <c r="H20" s="49">
        <f t="shared" si="0"/>
        <v>0</v>
      </c>
      <c r="I20">
        <f t="shared" si="1"/>
        <v>0</v>
      </c>
      <c r="J20" s="90">
        <f>Bilanca!K28</f>
        <v>0</v>
      </c>
      <c r="K20" s="91">
        <f>Bilanca!L28</f>
        <v>0</v>
      </c>
      <c r="L20" s="90"/>
      <c r="M20" s="92"/>
      <c r="N20" s="92"/>
      <c r="O20" s="92"/>
      <c r="P20" s="92"/>
      <c r="Q20" s="92"/>
      <c r="R20" s="92"/>
      <c r="S20" s="92"/>
      <c r="T20" s="92"/>
      <c r="U20" s="92"/>
      <c r="V20" s="92"/>
      <c r="W20" s="92"/>
      <c r="X20" s="91"/>
      <c r="Y20" s="30" t="str">
        <f>IF(ListaMB!D27&lt;&gt;"", TEXT(ListaMB!B27, "00000000"), "")</f>
        <v>00000000</v>
      </c>
      <c r="Z20" s="30" t="str">
        <f>IF(ListaMB!D27&lt;&gt;"", ListaMB!D27, "")</f>
        <v>Podravka Polska Sp.z o.o.</v>
      </c>
      <c r="AA20" s="30" t="str">
        <f>IF(ListaMB!D27&lt;&gt;"", ListaMB!I27, "")</f>
        <v>Kostrzyn, Poljska</v>
      </c>
      <c r="AB20" s="31">
        <f>IF(ListaMB!D27&lt;&gt;"", ListaMB!K27, 0)</f>
        <v>1</v>
      </c>
      <c r="AC20">
        <f t="shared" si="2"/>
        <v>51</v>
      </c>
    </row>
    <row r="21" spans="1:29" hidden="1" x14ac:dyDescent="0.2">
      <c r="A21" t="s">
        <v>1769</v>
      </c>
      <c r="B21" s="27">
        <f>Opci!C47</f>
        <v>3</v>
      </c>
      <c r="D21" t="s">
        <v>439</v>
      </c>
      <c r="E21">
        <v>1</v>
      </c>
      <c r="F21">
        <f>Bilanca!I29</f>
        <v>20</v>
      </c>
      <c r="G21" t="str">
        <f>IF(Bilanca!J29=0,"",Bilanca!J29)</f>
        <v/>
      </c>
      <c r="H21" s="49">
        <f t="shared" si="0"/>
        <v>34161400</v>
      </c>
      <c r="I21">
        <f t="shared" si="1"/>
        <v>0</v>
      </c>
      <c r="J21" s="90">
        <f>Bilanca!K29</f>
        <v>56707000</v>
      </c>
      <c r="K21" s="91">
        <f>Bilanca!L29</f>
        <v>57050000</v>
      </c>
      <c r="L21" s="90"/>
      <c r="M21" s="92"/>
      <c r="N21" s="92"/>
      <c r="O21" s="92"/>
      <c r="P21" s="92"/>
      <c r="Q21" s="92"/>
      <c r="R21" s="92"/>
      <c r="S21" s="92"/>
      <c r="T21" s="92"/>
      <c r="U21" s="92"/>
      <c r="V21" s="92"/>
      <c r="W21" s="92"/>
      <c r="X21" s="91"/>
      <c r="Y21" s="30" t="str">
        <f>IF(ListaMB!D28&lt;&gt;"", TEXT(ListaMB!B28, "00000000"), "")</f>
        <v>00000000</v>
      </c>
      <c r="Z21" s="30" t="str">
        <f>IF(ListaMB!D28&lt;&gt;"", ListaMB!D28, "")</f>
        <v>Podravka-International s.r.l.</v>
      </c>
      <c r="AA21" s="30" t="str">
        <f>IF(ListaMB!D28&lt;&gt;"", ListaMB!I28, "")</f>
        <v>Bukurešt, Rumunjska</v>
      </c>
      <c r="AB21" s="31">
        <f>IF(ListaMB!D28&lt;&gt;"", ListaMB!K28, 0)</f>
        <v>1</v>
      </c>
      <c r="AC21">
        <f t="shared" si="2"/>
        <v>57</v>
      </c>
    </row>
    <row r="22" spans="1:29" hidden="1" x14ac:dyDescent="0.2">
      <c r="A22" t="s">
        <v>1770</v>
      </c>
      <c r="B22" s="27">
        <f>Opci!C49</f>
        <v>41</v>
      </c>
      <c r="D22" t="s">
        <v>439</v>
      </c>
      <c r="E22">
        <v>1</v>
      </c>
      <c r="F22">
        <f>Bilanca!I30</f>
        <v>21</v>
      </c>
      <c r="G22" t="str">
        <f>IF(Bilanca!J30=0,"",Bilanca!J30)</f>
        <v/>
      </c>
      <c r="H22" s="49">
        <f t="shared" si="0"/>
        <v>0</v>
      </c>
      <c r="I22">
        <f t="shared" si="1"/>
        <v>0</v>
      </c>
      <c r="J22" s="90">
        <f>Bilanca!K30</f>
        <v>0</v>
      </c>
      <c r="K22" s="91">
        <f>Bilanca!L30</f>
        <v>0</v>
      </c>
      <c r="L22" s="90"/>
      <c r="M22" s="92"/>
      <c r="N22" s="92"/>
      <c r="O22" s="92"/>
      <c r="P22" s="92"/>
      <c r="Q22" s="92"/>
      <c r="R22" s="92"/>
      <c r="S22" s="92"/>
      <c r="T22" s="92"/>
      <c r="U22" s="92"/>
      <c r="V22" s="92"/>
      <c r="W22" s="92"/>
      <c r="X22" s="91"/>
      <c r="Y22" s="30" t="str">
        <f>IF(ListaMB!D29&lt;&gt;"", TEXT(ListaMB!B29, "00000000"), "")</f>
        <v>00000000</v>
      </c>
      <c r="Z22" s="30" t="str">
        <f>IF(ListaMB!D29&lt;&gt;"", ListaMB!D29, "")</f>
        <v>Podravka d.o.o.</v>
      </c>
      <c r="AA22" s="30" t="str">
        <f>IF(ListaMB!D29&lt;&gt;"", ListaMB!I29, "")</f>
        <v>Podgorica, Crna Gora</v>
      </c>
      <c r="AB22" s="31">
        <f>IF(ListaMB!D29&lt;&gt;"", ListaMB!K29, 0)</f>
        <v>1</v>
      </c>
      <c r="AC22">
        <f t="shared" si="2"/>
        <v>44</v>
      </c>
    </row>
    <row r="23" spans="1:29" hidden="1" x14ac:dyDescent="0.2">
      <c r="A23" t="s">
        <v>1771</v>
      </c>
      <c r="B23" s="27">
        <f>Opci!C51</f>
        <v>78</v>
      </c>
      <c r="D23" t="s">
        <v>439</v>
      </c>
      <c r="E23">
        <v>1</v>
      </c>
      <c r="F23">
        <f>Bilanca!I31</f>
        <v>22</v>
      </c>
      <c r="G23" t="str">
        <f>IF(Bilanca!J31=0,"",Bilanca!J31)</f>
        <v/>
      </c>
      <c r="H23" s="49">
        <f t="shared" si="0"/>
        <v>0</v>
      </c>
      <c r="I23">
        <f t="shared" si="1"/>
        <v>0</v>
      </c>
      <c r="J23" s="90">
        <f>Bilanca!K31</f>
        <v>0</v>
      </c>
      <c r="K23" s="91">
        <f>Bilanca!L31</f>
        <v>0</v>
      </c>
      <c r="L23" s="90"/>
      <c r="M23" s="92"/>
      <c r="N23" s="92"/>
      <c r="O23" s="92"/>
      <c r="P23" s="92"/>
      <c r="Q23" s="92"/>
      <c r="R23" s="92"/>
      <c r="S23" s="92"/>
      <c r="T23" s="92"/>
      <c r="U23" s="92"/>
      <c r="V23" s="92"/>
      <c r="W23" s="92"/>
      <c r="X23" s="91"/>
      <c r="Y23" s="30" t="str">
        <f>IF(ListaMB!D30&lt;&gt;"", TEXT(ListaMB!B30, "00000000"), "")</f>
        <v>00000000</v>
      </c>
      <c r="Z23" s="30" t="str">
        <f>IF(ListaMB!D30&lt;&gt;"", ListaMB!D30, "")</f>
        <v>Podravka - Lagris a.s.</v>
      </c>
      <c r="AA23" s="30" t="str">
        <f>IF(ListaMB!D30&lt;&gt;"", ListaMB!I30, "")</f>
        <v>Dolni Lhota u Luhačovic, Češka</v>
      </c>
      <c r="AB23" s="31">
        <f>IF(ListaMB!D30&lt;&gt;"", ListaMB!K30, 0)</f>
        <v>1</v>
      </c>
      <c r="AC23">
        <f t="shared" si="2"/>
        <v>61</v>
      </c>
    </row>
    <row r="24" spans="1:29" hidden="1" x14ac:dyDescent="0.2">
      <c r="A24" t="s">
        <v>1772</v>
      </c>
      <c r="B24" s="27">
        <f>Opci!E51</f>
        <v>22</v>
      </c>
      <c r="D24" t="s">
        <v>439</v>
      </c>
      <c r="E24">
        <v>1</v>
      </c>
      <c r="F24">
        <f>Bilanca!I32</f>
        <v>23</v>
      </c>
      <c r="G24" t="str">
        <f>IF(Bilanca!J32=0,"",Bilanca!J32)</f>
        <v/>
      </c>
      <c r="H24" s="49">
        <f t="shared" si="0"/>
        <v>0</v>
      </c>
      <c r="I24">
        <f t="shared" si="1"/>
        <v>0</v>
      </c>
      <c r="J24" s="90">
        <f>Bilanca!K32</f>
        <v>0</v>
      </c>
      <c r="K24" s="91">
        <f>Bilanca!L32</f>
        <v>0</v>
      </c>
      <c r="L24" s="90"/>
      <c r="M24" s="92"/>
      <c r="N24" s="92"/>
      <c r="O24" s="92"/>
      <c r="P24" s="92"/>
      <c r="Q24" s="92"/>
      <c r="R24" s="92"/>
      <c r="S24" s="92"/>
      <c r="T24" s="92"/>
      <c r="U24" s="92"/>
      <c r="V24" s="92"/>
      <c r="W24" s="92"/>
      <c r="X24" s="91"/>
      <c r="Y24" s="30" t="str">
        <f>IF(ListaMB!D31&lt;&gt;"", TEXT(ListaMB!B31, "00000000"), "")</f>
        <v>00000000</v>
      </c>
      <c r="Z24" s="30" t="str">
        <f>IF(ListaMB!D31&lt;&gt;"", ListaMB!D31, "")</f>
        <v>Podravka International Inc.</v>
      </c>
      <c r="AA24" s="30" t="str">
        <f>IF(ListaMB!D31&lt;&gt;"", ListaMB!I31, "")</f>
        <v>Wilmington, SAD</v>
      </c>
      <c r="AB24" s="31">
        <f>IF(ListaMB!D31&lt;&gt;"", ListaMB!K31, 0)</f>
        <v>1</v>
      </c>
      <c r="AC24">
        <f t="shared" si="2"/>
        <v>51</v>
      </c>
    </row>
    <row r="25" spans="1:29" hidden="1" x14ac:dyDescent="0.2">
      <c r="A25" t="s">
        <v>1773</v>
      </c>
      <c r="B25" s="27">
        <f>Opci!C53</f>
        <v>6773</v>
      </c>
      <c r="D25" t="s">
        <v>439</v>
      </c>
      <c r="E25">
        <v>1</v>
      </c>
      <c r="F25">
        <f>Bilanca!I33</f>
        <v>24</v>
      </c>
      <c r="G25" t="str">
        <f>IF(Bilanca!J33=0,"",Bilanca!J33)</f>
        <v/>
      </c>
      <c r="H25" s="49">
        <f t="shared" si="0"/>
        <v>0</v>
      </c>
      <c r="I25">
        <f t="shared" si="1"/>
        <v>0</v>
      </c>
      <c r="J25" s="90">
        <f>Bilanca!K33</f>
        <v>0</v>
      </c>
      <c r="K25" s="91">
        <f>Bilanca!L33</f>
        <v>0</v>
      </c>
      <c r="L25" s="90"/>
      <c r="M25" s="92"/>
      <c r="N25" s="92"/>
      <c r="O25" s="92"/>
      <c r="P25" s="92"/>
      <c r="Q25" s="92"/>
      <c r="R25" s="92"/>
      <c r="S25" s="92"/>
      <c r="T25" s="92"/>
      <c r="U25" s="92"/>
      <c r="V25" s="92"/>
      <c r="W25" s="92"/>
      <c r="X25" s="91"/>
      <c r="Y25" s="30" t="str">
        <f>IF(ListaMB!D32&lt;&gt;"", TEXT(ListaMB!B32, "00000000"), "")</f>
        <v/>
      </c>
      <c r="Z25" s="30" t="str">
        <f>IF(ListaMB!D32&lt;&gt;"", ListaMB!D32, "")</f>
        <v/>
      </c>
      <c r="AA25" s="30" t="str">
        <f>IF(ListaMB!D32&lt;&gt;"", ListaMB!I32, "")</f>
        <v/>
      </c>
      <c r="AB25" s="31">
        <f>IF(ListaMB!D32&lt;&gt;"", ListaMB!K32, 0)</f>
        <v>0</v>
      </c>
      <c r="AC25">
        <f t="shared" si="2"/>
        <v>0</v>
      </c>
    </row>
    <row r="26" spans="1:29" hidden="1" x14ac:dyDescent="0.2">
      <c r="A26" t="s">
        <v>1774</v>
      </c>
      <c r="B26" s="27">
        <f>Opci!E53</f>
        <v>6761</v>
      </c>
      <c r="D26" t="s">
        <v>439</v>
      </c>
      <c r="E26">
        <v>1</v>
      </c>
      <c r="F26">
        <f>Bilanca!I34</f>
        <v>25</v>
      </c>
      <c r="G26" t="str">
        <f>IF(Bilanca!J34=0,"",Bilanca!J34)</f>
        <v/>
      </c>
      <c r="H26" s="49">
        <f t="shared" si="0"/>
        <v>42578750</v>
      </c>
      <c r="I26">
        <f t="shared" si="1"/>
        <v>0</v>
      </c>
      <c r="J26" s="90">
        <f>Bilanca!K34</f>
        <v>56545000</v>
      </c>
      <c r="K26" s="91">
        <f>Bilanca!L34</f>
        <v>56885000</v>
      </c>
      <c r="L26" s="90"/>
      <c r="M26" s="92"/>
      <c r="N26" s="92"/>
      <c r="O26" s="92"/>
      <c r="P26" s="92"/>
      <c r="Q26" s="92"/>
      <c r="R26" s="92"/>
      <c r="S26" s="92"/>
      <c r="T26" s="92"/>
      <c r="U26" s="92"/>
      <c r="V26" s="92"/>
      <c r="W26" s="92"/>
      <c r="X26" s="91"/>
      <c r="Y26" s="30" t="str">
        <f>IF(ListaMB!D33&lt;&gt;"", TEXT(ListaMB!B33, "00000000"), "")</f>
        <v/>
      </c>
      <c r="Z26" s="30" t="str">
        <f>IF(ListaMB!D33&lt;&gt;"", ListaMB!D33, "")</f>
        <v/>
      </c>
      <c r="AA26" s="30" t="str">
        <f>IF(ListaMB!D33&lt;&gt;"", ListaMB!I33, "")</f>
        <v/>
      </c>
      <c r="AB26" s="31">
        <f>IF(ListaMB!D33&lt;&gt;"", ListaMB!K33, 0)</f>
        <v>0</v>
      </c>
      <c r="AC26">
        <f t="shared" si="2"/>
        <v>0</v>
      </c>
    </row>
    <row r="27" spans="1:29" hidden="1" x14ac:dyDescent="0.2">
      <c r="A27" t="s">
        <v>1775</v>
      </c>
      <c r="B27" s="27">
        <f>Opci!C55</f>
        <v>6446</v>
      </c>
      <c r="D27" t="s">
        <v>439</v>
      </c>
      <c r="E27">
        <v>1</v>
      </c>
      <c r="F27">
        <f>Bilanca!I35</f>
        <v>26</v>
      </c>
      <c r="G27" t="str">
        <f>IF(Bilanca!J35=0,"",Bilanca!J35)</f>
        <v/>
      </c>
      <c r="H27" s="49">
        <f t="shared" si="0"/>
        <v>0</v>
      </c>
      <c r="I27">
        <f t="shared" si="1"/>
        <v>0</v>
      </c>
      <c r="J27" s="90">
        <f>Bilanca!K35</f>
        <v>0</v>
      </c>
      <c r="K27" s="91">
        <f>Bilanca!L35</f>
        <v>0</v>
      </c>
      <c r="L27" s="90"/>
      <c r="M27" s="92"/>
      <c r="N27" s="92"/>
      <c r="O27" s="92"/>
      <c r="P27" s="92"/>
      <c r="Q27" s="92"/>
      <c r="R27" s="92"/>
      <c r="S27" s="92"/>
      <c r="T27" s="92"/>
      <c r="U27" s="92"/>
      <c r="V27" s="92"/>
      <c r="W27" s="92"/>
      <c r="X27" s="91"/>
      <c r="Y27" s="30" t="str">
        <f>IF(ListaMB!D34&lt;&gt;"", TEXT(ListaMB!B34, "00000000"), "")</f>
        <v/>
      </c>
      <c r="Z27" s="30" t="str">
        <f>IF(ListaMB!D34&lt;&gt;"", ListaMB!D34, "")</f>
        <v/>
      </c>
      <c r="AA27" s="30" t="str">
        <f>IF(ListaMB!D34&lt;&gt;"", ListaMB!I34, "")</f>
        <v/>
      </c>
      <c r="AB27" s="31">
        <f>IF(ListaMB!D34&lt;&gt;"", ListaMB!K34, 0)</f>
        <v>0</v>
      </c>
      <c r="AC27">
        <f t="shared" si="2"/>
        <v>0</v>
      </c>
    </row>
    <row r="28" spans="1:29" hidden="1" x14ac:dyDescent="0.2">
      <c r="A28" t="s">
        <v>1776</v>
      </c>
      <c r="B28" s="27">
        <f>Opci!E55</f>
        <v>6543</v>
      </c>
      <c r="D28" t="s">
        <v>439</v>
      </c>
      <c r="E28">
        <v>1</v>
      </c>
      <c r="F28">
        <f>Bilanca!I36</f>
        <v>27</v>
      </c>
      <c r="G28" t="str">
        <f>IF(Bilanca!J36=0,"",Bilanca!J36)</f>
        <v/>
      </c>
      <c r="H28" s="49">
        <f t="shared" si="0"/>
        <v>132840</v>
      </c>
      <c r="I28">
        <f t="shared" si="1"/>
        <v>0</v>
      </c>
      <c r="J28" s="90">
        <f>Bilanca!K36</f>
        <v>162000</v>
      </c>
      <c r="K28" s="91">
        <f>Bilanca!L36</f>
        <v>165000</v>
      </c>
      <c r="L28" s="90"/>
      <c r="M28" s="92"/>
      <c r="N28" s="92"/>
      <c r="O28" s="92"/>
      <c r="P28" s="92"/>
      <c r="Q28" s="92"/>
      <c r="R28" s="92"/>
      <c r="S28" s="92"/>
      <c r="T28" s="92"/>
      <c r="U28" s="92"/>
      <c r="V28" s="92"/>
      <c r="W28" s="92"/>
      <c r="X28" s="91"/>
      <c r="Y28" s="30" t="str">
        <f>IF(ListaMB!D35&lt;&gt;"", TEXT(ListaMB!B35, "00000000"), "")</f>
        <v/>
      </c>
      <c r="Z28" s="30" t="str">
        <f>IF(ListaMB!D35&lt;&gt;"", ListaMB!D35, "")</f>
        <v/>
      </c>
      <c r="AA28" s="30" t="str">
        <f>IF(ListaMB!D35&lt;&gt;"", ListaMB!I35, "")</f>
        <v/>
      </c>
      <c r="AB28" s="31">
        <f>IF(ListaMB!D35&lt;&gt;"", ListaMB!K35, 0)</f>
        <v>0</v>
      </c>
      <c r="AC28">
        <f t="shared" si="2"/>
        <v>0</v>
      </c>
    </row>
    <row r="29" spans="1:29" hidden="1" x14ac:dyDescent="0.2">
      <c r="A29" t="s">
        <v>1777</v>
      </c>
      <c r="B29" s="27">
        <f>Opci!C57</f>
        <v>3</v>
      </c>
      <c r="D29" t="s">
        <v>439</v>
      </c>
      <c r="E29">
        <v>1</v>
      </c>
      <c r="F29">
        <f>Bilanca!I37</f>
        <v>28</v>
      </c>
      <c r="G29" t="str">
        <f>IF(Bilanca!J37=0,"",Bilanca!J37)</f>
        <v/>
      </c>
      <c r="H29" s="49">
        <f t="shared" si="0"/>
        <v>0</v>
      </c>
      <c r="I29">
        <f t="shared" si="1"/>
        <v>0</v>
      </c>
      <c r="J29" s="90">
        <f>Bilanca!K37</f>
        <v>0</v>
      </c>
      <c r="K29" s="91">
        <f>Bilanca!L37</f>
        <v>0</v>
      </c>
      <c r="L29" s="90"/>
      <c r="M29" s="92"/>
      <c r="N29" s="92"/>
      <c r="O29" s="92"/>
      <c r="P29" s="92"/>
      <c r="Q29" s="92"/>
      <c r="R29" s="92"/>
      <c r="S29" s="92"/>
      <c r="T29" s="92"/>
      <c r="U29" s="92"/>
      <c r="V29" s="92"/>
      <c r="W29" s="92"/>
      <c r="X29" s="91"/>
      <c r="Y29" s="30" t="str">
        <f>IF(ListaMB!D36&lt;&gt;"", TEXT(ListaMB!B36, "00000000"), "")</f>
        <v/>
      </c>
      <c r="Z29" s="30" t="str">
        <f>IF(ListaMB!D36&lt;&gt;"", ListaMB!D36, "")</f>
        <v/>
      </c>
      <c r="AA29" s="30" t="str">
        <f>IF(ListaMB!D36&lt;&gt;"", ListaMB!I36, "")</f>
        <v/>
      </c>
      <c r="AB29" s="31">
        <f>IF(ListaMB!D36&lt;&gt;"", ListaMB!K36, 0)</f>
        <v>0</v>
      </c>
      <c r="AC29">
        <f t="shared" si="2"/>
        <v>0</v>
      </c>
    </row>
    <row r="30" spans="1:29" hidden="1" x14ac:dyDescent="0.2">
      <c r="A30" t="s">
        <v>1778</v>
      </c>
      <c r="B30" s="27">
        <f>Opci!E57</f>
        <v>3</v>
      </c>
      <c r="D30" t="s">
        <v>439</v>
      </c>
      <c r="E30">
        <v>1</v>
      </c>
      <c r="F30">
        <f>Bilanca!I38</f>
        <v>29</v>
      </c>
      <c r="G30" t="str">
        <f>IF(Bilanca!J38=0,"",Bilanca!J38)</f>
        <v/>
      </c>
      <c r="H30" s="49">
        <f t="shared" si="0"/>
        <v>0</v>
      </c>
      <c r="I30">
        <f t="shared" si="1"/>
        <v>0</v>
      </c>
      <c r="J30" s="90">
        <f>Bilanca!K38</f>
        <v>0</v>
      </c>
      <c r="K30" s="91">
        <f>Bilanca!L38</f>
        <v>0</v>
      </c>
      <c r="L30" s="90"/>
      <c r="M30" s="92"/>
      <c r="N30" s="92"/>
      <c r="O30" s="92"/>
      <c r="P30" s="92"/>
      <c r="Q30" s="92"/>
      <c r="R30" s="92"/>
      <c r="S30" s="92"/>
      <c r="T30" s="92"/>
      <c r="U30" s="92"/>
      <c r="V30" s="92"/>
      <c r="W30" s="92"/>
      <c r="X30" s="91"/>
      <c r="Y30" s="30" t="str">
        <f>IF(ListaMB!D37&lt;&gt;"", TEXT(ListaMB!B37, "00000000"), "")</f>
        <v/>
      </c>
      <c r="Z30" s="30" t="str">
        <f>IF(ListaMB!D37&lt;&gt;"", ListaMB!D37, "")</f>
        <v/>
      </c>
      <c r="AA30" s="30" t="str">
        <f>IF(ListaMB!D37&lt;&gt;"", ListaMB!I37, "")</f>
        <v/>
      </c>
      <c r="AB30" s="31">
        <f>IF(ListaMB!D37&lt;&gt;"", ListaMB!K37, 0)</f>
        <v>0</v>
      </c>
      <c r="AC30">
        <f t="shared" si="2"/>
        <v>0</v>
      </c>
    </row>
    <row r="31" spans="1:29" hidden="1" x14ac:dyDescent="0.2">
      <c r="A31" t="s">
        <v>1779</v>
      </c>
      <c r="B31" s="27">
        <f>Opci!G59</f>
        <v>0</v>
      </c>
      <c r="D31" t="s">
        <v>439</v>
      </c>
      <c r="E31">
        <v>1</v>
      </c>
      <c r="F31">
        <f>Bilanca!I39</f>
        <v>30</v>
      </c>
      <c r="G31" t="str">
        <f>IF(Bilanca!J39=0,"",Bilanca!J39)</f>
        <v/>
      </c>
      <c r="H31" s="49">
        <f t="shared" si="0"/>
        <v>0</v>
      </c>
      <c r="I31">
        <f t="shared" si="1"/>
        <v>0</v>
      </c>
      <c r="J31" s="90">
        <f>Bilanca!K39</f>
        <v>0</v>
      </c>
      <c r="K31" s="91">
        <f>Bilanca!L39</f>
        <v>0</v>
      </c>
      <c r="L31" s="90"/>
      <c r="M31" s="92"/>
      <c r="N31" s="92"/>
      <c r="O31" s="92"/>
      <c r="P31" s="92"/>
      <c r="Q31" s="92"/>
      <c r="R31" s="92"/>
      <c r="S31" s="92"/>
      <c r="T31" s="92"/>
      <c r="U31" s="92"/>
      <c r="V31" s="92"/>
      <c r="W31" s="92"/>
      <c r="X31" s="91"/>
      <c r="Y31" s="30" t="str">
        <f>IF(ListaMB!D38&lt;&gt;"", TEXT(ListaMB!B38, "00000000"), "")</f>
        <v/>
      </c>
      <c r="Z31" s="30" t="str">
        <f>IF(ListaMB!D38&lt;&gt;"", ListaMB!D38, "")</f>
        <v/>
      </c>
      <c r="AA31" s="30" t="str">
        <f>IF(ListaMB!D38&lt;&gt;"", ListaMB!I38, "")</f>
        <v/>
      </c>
      <c r="AB31" s="31">
        <f>IF(ListaMB!D38&lt;&gt;"", ListaMB!K38, 0)</f>
        <v>0</v>
      </c>
      <c r="AC31">
        <f t="shared" si="2"/>
        <v>0</v>
      </c>
    </row>
    <row r="32" spans="1:29" hidden="1" x14ac:dyDescent="0.2">
      <c r="A32" t="s">
        <v>1780</v>
      </c>
      <c r="B32" s="27">
        <f>Opci!J59</f>
        <v>0</v>
      </c>
      <c r="D32" t="s">
        <v>439</v>
      </c>
      <c r="E32">
        <v>1</v>
      </c>
      <c r="F32">
        <f>Bilanca!I40</f>
        <v>31</v>
      </c>
      <c r="G32" t="str">
        <f>IF(Bilanca!J40=0,"",Bilanca!J40)</f>
        <v/>
      </c>
      <c r="H32" s="49">
        <f t="shared" si="0"/>
        <v>0</v>
      </c>
      <c r="I32">
        <f t="shared" si="1"/>
        <v>0</v>
      </c>
      <c r="J32" s="90">
        <f>Bilanca!K40</f>
        <v>0</v>
      </c>
      <c r="K32" s="91">
        <f>Bilanca!L40</f>
        <v>0</v>
      </c>
      <c r="L32" s="90"/>
      <c r="M32" s="92"/>
      <c r="N32" s="92"/>
      <c r="O32" s="92"/>
      <c r="P32" s="92"/>
      <c r="Q32" s="92"/>
      <c r="R32" s="92"/>
      <c r="S32" s="92"/>
      <c r="T32" s="92"/>
      <c r="U32" s="92"/>
      <c r="V32" s="92"/>
      <c r="W32" s="92"/>
      <c r="X32" s="91"/>
      <c r="Y32" s="30" t="str">
        <f>IF(ListaMB!D39&lt;&gt;"", TEXT(ListaMB!B39, "00000000"), "")</f>
        <v/>
      </c>
      <c r="Z32" s="30" t="str">
        <f>IF(ListaMB!D39&lt;&gt;"", ListaMB!D39, "")</f>
        <v/>
      </c>
      <c r="AA32" s="30" t="str">
        <f>IF(ListaMB!D39&lt;&gt;"", ListaMB!I39, "")</f>
        <v/>
      </c>
      <c r="AB32" s="31">
        <f>IF(ListaMB!D39&lt;&gt;"", ListaMB!K39, 0)</f>
        <v>0</v>
      </c>
      <c r="AC32">
        <f t="shared" si="2"/>
        <v>0</v>
      </c>
    </row>
    <row r="33" spans="1:29" hidden="1" x14ac:dyDescent="0.2">
      <c r="A33" t="s">
        <v>1781</v>
      </c>
      <c r="B33" s="27">
        <f>Opci!M59</f>
        <v>0</v>
      </c>
      <c r="D33" t="s">
        <v>439</v>
      </c>
      <c r="E33">
        <v>1</v>
      </c>
      <c r="F33">
        <f>Bilanca!I41</f>
        <v>32</v>
      </c>
      <c r="G33" t="str">
        <f>IF(Bilanca!J41=0,"",Bilanca!J41)</f>
        <v/>
      </c>
      <c r="H33" s="49">
        <f t="shared" si="0"/>
        <v>37836800</v>
      </c>
      <c r="I33">
        <f t="shared" si="1"/>
        <v>0</v>
      </c>
      <c r="J33" s="90">
        <f>Bilanca!K41</f>
        <v>35598000</v>
      </c>
      <c r="K33" s="91">
        <f>Bilanca!L41</f>
        <v>41321000</v>
      </c>
      <c r="L33" s="90"/>
      <c r="M33" s="92"/>
      <c r="N33" s="92"/>
      <c r="O33" s="92"/>
      <c r="P33" s="92"/>
      <c r="Q33" s="92"/>
      <c r="R33" s="92"/>
      <c r="S33" s="92"/>
      <c r="T33" s="92"/>
      <c r="U33" s="92"/>
      <c r="V33" s="92"/>
      <c r="W33" s="92"/>
      <c r="X33" s="91"/>
      <c r="Y33" s="30" t="str">
        <f>IF(ListaMB!D40&lt;&gt;"", TEXT(ListaMB!B40, "00000000"), "")</f>
        <v/>
      </c>
      <c r="Z33" s="30" t="str">
        <f>IF(ListaMB!D40&lt;&gt;"", ListaMB!D40, "")</f>
        <v/>
      </c>
      <c r="AA33" s="30" t="str">
        <f>IF(ListaMB!D40&lt;&gt;"", ListaMB!I40, "")</f>
        <v/>
      </c>
      <c r="AB33" s="31">
        <f>IF(ListaMB!D40&lt;&gt;"", ListaMB!K40, 0)</f>
        <v>0</v>
      </c>
      <c r="AC33">
        <f t="shared" si="2"/>
        <v>0</v>
      </c>
    </row>
    <row r="34" spans="1:29" hidden="1" x14ac:dyDescent="0.2">
      <c r="A34" t="s">
        <v>1782</v>
      </c>
      <c r="B34" s="27">
        <f>Opci!G61</f>
        <v>0</v>
      </c>
      <c r="D34" t="s">
        <v>439</v>
      </c>
      <c r="E34">
        <v>1</v>
      </c>
      <c r="F34">
        <f>Bilanca!I42</f>
        <v>33</v>
      </c>
      <c r="G34" t="str">
        <f>IF(Bilanca!J42=0,"",Bilanca!J42)</f>
        <v/>
      </c>
      <c r="H34" s="49">
        <f t="shared" si="0"/>
        <v>2108767980</v>
      </c>
      <c r="I34">
        <f t="shared" si="1"/>
        <v>0</v>
      </c>
      <c r="J34" s="90">
        <f>Bilanca!K42</f>
        <v>1852720000</v>
      </c>
      <c r="K34" s="91">
        <f>Bilanca!L42</f>
        <v>2268743000</v>
      </c>
      <c r="L34" s="90"/>
      <c r="M34" s="92"/>
      <c r="N34" s="92"/>
      <c r="O34" s="92"/>
      <c r="P34" s="92"/>
      <c r="Q34" s="92"/>
      <c r="R34" s="92"/>
      <c r="S34" s="92"/>
      <c r="T34" s="92"/>
      <c r="U34" s="92"/>
      <c r="V34" s="92"/>
      <c r="W34" s="92"/>
      <c r="X34" s="91"/>
      <c r="Y34" s="30" t="str">
        <f>IF(ListaMB!D41&lt;&gt;"", TEXT(ListaMB!B41, "00000000"), "")</f>
        <v/>
      </c>
      <c r="Z34" s="30" t="str">
        <f>IF(ListaMB!D41&lt;&gt;"", ListaMB!D41, "")</f>
        <v/>
      </c>
      <c r="AA34" s="30" t="str">
        <f>IF(ListaMB!D41&lt;&gt;"", ListaMB!I41, "")</f>
        <v/>
      </c>
      <c r="AB34" s="31">
        <f>IF(ListaMB!D41&lt;&gt;"", ListaMB!K41, 0)</f>
        <v>0</v>
      </c>
      <c r="AC34">
        <f t="shared" si="2"/>
        <v>0</v>
      </c>
    </row>
    <row r="35" spans="1:29" hidden="1" x14ac:dyDescent="0.2">
      <c r="A35" t="s">
        <v>1783</v>
      </c>
      <c r="B35" s="27">
        <f>Opci!J61</f>
        <v>0</v>
      </c>
      <c r="D35" t="s">
        <v>439</v>
      </c>
      <c r="E35">
        <v>1</v>
      </c>
      <c r="F35">
        <f>Bilanca!I43</f>
        <v>34</v>
      </c>
      <c r="G35" t="str">
        <f>IF(Bilanca!J43=0,"",Bilanca!J43)</f>
        <v/>
      </c>
      <c r="H35" s="49">
        <f t="shared" si="0"/>
        <v>680836400</v>
      </c>
      <c r="I35">
        <f t="shared" si="1"/>
        <v>0</v>
      </c>
      <c r="J35" s="90">
        <f>Bilanca!K43</f>
        <v>625816000</v>
      </c>
      <c r="K35" s="91">
        <f>Bilanca!L43</f>
        <v>688322000</v>
      </c>
      <c r="L35" s="90"/>
      <c r="M35" s="92"/>
      <c r="N35" s="92"/>
      <c r="O35" s="92"/>
      <c r="P35" s="92"/>
      <c r="Q35" s="92"/>
      <c r="R35" s="92"/>
      <c r="S35" s="92"/>
      <c r="T35" s="92"/>
      <c r="U35" s="92"/>
      <c r="V35" s="92"/>
      <c r="W35" s="92"/>
      <c r="X35" s="91"/>
      <c r="Y35" s="30" t="str">
        <f>IF(ListaMB!D42&lt;&gt;"", TEXT(ListaMB!B42, "00000000"), "")</f>
        <v/>
      </c>
      <c r="Z35" s="30" t="str">
        <f>IF(ListaMB!D42&lt;&gt;"", ListaMB!D42, "")</f>
        <v/>
      </c>
      <c r="AA35" s="30" t="str">
        <f>IF(ListaMB!D42&lt;&gt;"", ListaMB!I42, "")</f>
        <v/>
      </c>
      <c r="AB35" s="31">
        <f>IF(ListaMB!D42&lt;&gt;"", ListaMB!K42, 0)</f>
        <v>0</v>
      </c>
      <c r="AC35">
        <f t="shared" si="2"/>
        <v>0</v>
      </c>
    </row>
    <row r="36" spans="1:29" hidden="1" x14ac:dyDescent="0.2">
      <c r="A36" t="s">
        <v>1784</v>
      </c>
      <c r="B36" s="27">
        <f>Opci!M61</f>
        <v>0</v>
      </c>
      <c r="D36" t="s">
        <v>439</v>
      </c>
      <c r="E36">
        <v>1</v>
      </c>
      <c r="F36">
        <f>Bilanca!I44</f>
        <v>35</v>
      </c>
      <c r="G36" t="str">
        <f>IF(Bilanca!J44=0,"",Bilanca!J44)</f>
        <v/>
      </c>
      <c r="H36" s="49">
        <f t="shared" si="0"/>
        <v>240186450</v>
      </c>
      <c r="I36">
        <f t="shared" si="1"/>
        <v>0</v>
      </c>
      <c r="J36" s="90">
        <f>Bilanca!K44</f>
        <v>223921000</v>
      </c>
      <c r="K36" s="91">
        <f>Bilanca!L44</f>
        <v>231163000</v>
      </c>
      <c r="L36" s="90"/>
      <c r="M36" s="92"/>
      <c r="N36" s="92"/>
      <c r="O36" s="92"/>
      <c r="P36" s="92"/>
      <c r="Q36" s="92"/>
      <c r="R36" s="92"/>
      <c r="S36" s="92"/>
      <c r="T36" s="92"/>
      <c r="U36" s="92"/>
      <c r="V36" s="92"/>
      <c r="W36" s="92"/>
      <c r="X36" s="91"/>
      <c r="Y36" s="30" t="str">
        <f>IF(ListaMB!D43&lt;&gt;"", TEXT(ListaMB!B43, "00000000"), "")</f>
        <v/>
      </c>
      <c r="Z36" s="30" t="str">
        <f>IF(ListaMB!D43&lt;&gt;"", ListaMB!D43, "")</f>
        <v/>
      </c>
      <c r="AA36" s="30" t="str">
        <f>IF(ListaMB!D43&lt;&gt;"", ListaMB!I43, "")</f>
        <v/>
      </c>
      <c r="AB36" s="31">
        <f>IF(ListaMB!D43&lt;&gt;"", ListaMB!K43, 0)</f>
        <v>0</v>
      </c>
      <c r="AC36">
        <f t="shared" si="2"/>
        <v>0</v>
      </c>
    </row>
    <row r="37" spans="1:29" hidden="1" x14ac:dyDescent="0.2">
      <c r="A37" t="s">
        <v>1785</v>
      </c>
      <c r="B37" s="27">
        <f>Opci!C63</f>
        <v>0</v>
      </c>
      <c r="D37" t="s">
        <v>439</v>
      </c>
      <c r="E37">
        <v>1</v>
      </c>
      <c r="F37">
        <f>Bilanca!I45</f>
        <v>36</v>
      </c>
      <c r="G37" t="str">
        <f>IF(Bilanca!J45=0,"",Bilanca!J45)</f>
        <v/>
      </c>
      <c r="H37" s="49">
        <f t="shared" si="0"/>
        <v>6488280</v>
      </c>
      <c r="I37">
        <f t="shared" si="1"/>
        <v>0</v>
      </c>
      <c r="J37" s="90">
        <f>Bilanca!K45</f>
        <v>4967000</v>
      </c>
      <c r="K37" s="91">
        <f>Bilanca!L45</f>
        <v>6528000</v>
      </c>
      <c r="L37" s="90"/>
      <c r="M37" s="92"/>
      <c r="N37" s="92"/>
      <c r="O37" s="92"/>
      <c r="P37" s="92"/>
      <c r="Q37" s="92"/>
      <c r="R37" s="92"/>
      <c r="S37" s="92"/>
      <c r="T37" s="92"/>
      <c r="U37" s="92"/>
      <c r="V37" s="92"/>
      <c r="W37" s="92"/>
      <c r="X37" s="91"/>
      <c r="Y37" s="30" t="str">
        <f>IF(ListaMB!D44&lt;&gt;"", TEXT(ListaMB!B44, "00000000"), "")</f>
        <v/>
      </c>
      <c r="Z37" s="30" t="str">
        <f>IF(ListaMB!D44&lt;&gt;"", ListaMB!D44, "")</f>
        <v/>
      </c>
      <c r="AA37" s="30" t="str">
        <f>IF(ListaMB!D44&lt;&gt;"", ListaMB!I44, "")</f>
        <v/>
      </c>
      <c r="AB37" s="31">
        <f>IF(ListaMB!D44&lt;&gt;"", ListaMB!K44, 0)</f>
        <v>0</v>
      </c>
      <c r="AC37">
        <f t="shared" si="2"/>
        <v>0</v>
      </c>
    </row>
    <row r="38" spans="1:29" hidden="1" x14ac:dyDescent="0.2">
      <c r="A38" t="s">
        <v>1786</v>
      </c>
      <c r="B38" s="27" t="str">
        <f>TRIM(Opci!F63)</f>
        <v/>
      </c>
      <c r="D38" t="s">
        <v>439</v>
      </c>
      <c r="E38">
        <v>1</v>
      </c>
      <c r="F38">
        <f>Bilanca!I46</f>
        <v>37</v>
      </c>
      <c r="G38" t="str">
        <f>IF(Bilanca!J46=0,"",Bilanca!J46)</f>
        <v/>
      </c>
      <c r="H38" s="49">
        <f t="shared" si="0"/>
        <v>45847070</v>
      </c>
      <c r="I38">
        <f t="shared" si="1"/>
        <v>0</v>
      </c>
      <c r="J38" s="90">
        <f>Bilanca!K46</f>
        <v>44961000</v>
      </c>
      <c r="K38" s="91">
        <f>Bilanca!L46</f>
        <v>39475000</v>
      </c>
      <c r="L38" s="90"/>
      <c r="M38" s="92"/>
      <c r="N38" s="92"/>
      <c r="O38" s="92"/>
      <c r="P38" s="92"/>
      <c r="Q38" s="92"/>
      <c r="R38" s="92"/>
      <c r="S38" s="92"/>
      <c r="T38" s="92"/>
      <c r="U38" s="92"/>
      <c r="V38" s="92"/>
      <c r="W38" s="92"/>
      <c r="X38" s="91"/>
      <c r="Y38" s="30" t="str">
        <f>IF(ListaMB!D45&lt;&gt;"", TEXT(ListaMB!B45, "00000000"), "")</f>
        <v/>
      </c>
      <c r="Z38" s="30" t="str">
        <f>IF(ListaMB!D45&lt;&gt;"", ListaMB!D45, "")</f>
        <v/>
      </c>
      <c r="AA38" s="30" t="str">
        <f>IF(ListaMB!D45&lt;&gt;"", ListaMB!I45, "")</f>
        <v/>
      </c>
      <c r="AB38" s="31">
        <f>IF(ListaMB!D45&lt;&gt;"", ListaMB!K45, 0)</f>
        <v>0</v>
      </c>
      <c r="AC38">
        <f t="shared" si="2"/>
        <v>0</v>
      </c>
    </row>
    <row r="39" spans="1:29" hidden="1" x14ac:dyDescent="0.2">
      <c r="A39" t="s">
        <v>1787</v>
      </c>
      <c r="B39" s="27" t="str">
        <f>TRIM(Opci!C65)</f>
        <v>Celiščak Draga</v>
      </c>
      <c r="D39" t="s">
        <v>439</v>
      </c>
      <c r="E39">
        <v>1</v>
      </c>
      <c r="F39">
        <f>Bilanca!I47</f>
        <v>38</v>
      </c>
      <c r="G39" t="str">
        <f>IF(Bilanca!J47=0,"",Bilanca!J47)</f>
        <v/>
      </c>
      <c r="H39" s="49">
        <f t="shared" si="0"/>
        <v>263263240</v>
      </c>
      <c r="I39">
        <f t="shared" si="1"/>
        <v>0</v>
      </c>
      <c r="J39" s="90">
        <f>Bilanca!K47</f>
        <v>218906000</v>
      </c>
      <c r="K39" s="91">
        <f>Bilanca!L47</f>
        <v>236946000</v>
      </c>
      <c r="L39" s="90"/>
      <c r="M39" s="92"/>
      <c r="N39" s="92"/>
      <c r="O39" s="92"/>
      <c r="P39" s="92"/>
      <c r="Q39" s="92"/>
      <c r="R39" s="92"/>
      <c r="S39" s="92"/>
      <c r="T39" s="92"/>
      <c r="U39" s="92"/>
      <c r="V39" s="92"/>
      <c r="W39" s="92"/>
      <c r="X39" s="91"/>
      <c r="Y39" s="30" t="str">
        <f>IF(ListaMB!D46&lt;&gt;"", TEXT(ListaMB!B46, "00000000"), "")</f>
        <v/>
      </c>
      <c r="Z39" s="30" t="str">
        <f>IF(ListaMB!D46&lt;&gt;"", ListaMB!D46, "")</f>
        <v/>
      </c>
      <c r="AA39" s="30" t="str">
        <f>IF(ListaMB!D46&lt;&gt;"", ListaMB!I46, "")</f>
        <v/>
      </c>
      <c r="AB39" s="31">
        <f>IF(ListaMB!D46&lt;&gt;"", ListaMB!K46, 0)</f>
        <v>0</v>
      </c>
      <c r="AC39">
        <f t="shared" si="2"/>
        <v>0</v>
      </c>
    </row>
    <row r="40" spans="1:29" hidden="1" x14ac:dyDescent="0.2">
      <c r="A40" t="s">
        <v>1788</v>
      </c>
      <c r="B40" s="27" t="str">
        <f>TRIM(Opci!C67)</f>
        <v>048 651 665</v>
      </c>
      <c r="D40" t="s">
        <v>439</v>
      </c>
      <c r="E40">
        <v>1</v>
      </c>
      <c r="F40">
        <f>Bilanca!I48</f>
        <v>39</v>
      </c>
      <c r="G40" t="str">
        <f>IF(Bilanca!J48=0,"",Bilanca!J48)</f>
        <v/>
      </c>
      <c r="H40" s="49">
        <f t="shared" si="0"/>
        <v>187777590</v>
      </c>
      <c r="I40">
        <f t="shared" si="1"/>
        <v>0</v>
      </c>
      <c r="J40" s="90">
        <f>Bilanca!K48</f>
        <v>133061000</v>
      </c>
      <c r="K40" s="91">
        <f>Bilanca!L48</f>
        <v>174210000</v>
      </c>
      <c r="L40" s="90"/>
      <c r="M40" s="92"/>
      <c r="N40" s="92"/>
      <c r="O40" s="92"/>
      <c r="P40" s="92"/>
      <c r="Q40" s="92"/>
      <c r="R40" s="92"/>
      <c r="S40" s="92"/>
      <c r="T40" s="92"/>
      <c r="U40" s="92"/>
      <c r="V40" s="92"/>
      <c r="W40" s="92"/>
      <c r="X40" s="91"/>
      <c r="Y40" s="30" t="str">
        <f>IF(ListaMB!D47&lt;&gt;"", TEXT(ListaMB!B47, "00000000"), "")</f>
        <v/>
      </c>
      <c r="Z40" s="30" t="str">
        <f>IF(ListaMB!D47&lt;&gt;"", ListaMB!D47, "")</f>
        <v/>
      </c>
      <c r="AA40" s="30" t="str">
        <f>IF(ListaMB!D47&lt;&gt;"", ListaMB!I47, "")</f>
        <v/>
      </c>
      <c r="AB40" s="31">
        <f>IF(ListaMB!D47&lt;&gt;"", ListaMB!K47, 0)</f>
        <v>0</v>
      </c>
      <c r="AC40">
        <f t="shared" si="2"/>
        <v>0</v>
      </c>
    </row>
    <row r="41" spans="1:29" hidden="1" x14ac:dyDescent="0.2">
      <c r="A41" t="s">
        <v>1789</v>
      </c>
      <c r="B41" s="27" t="str">
        <f>TRIM(Opci!H67)</f>
        <v>048 651 805</v>
      </c>
      <c r="D41" t="s">
        <v>439</v>
      </c>
      <c r="E41">
        <v>1</v>
      </c>
      <c r="F41">
        <f>Bilanca!I49</f>
        <v>40</v>
      </c>
      <c r="G41" t="str">
        <f>IF(Bilanca!J49=0,"",Bilanca!J49)</f>
        <v/>
      </c>
      <c r="H41" s="49">
        <f t="shared" si="0"/>
        <v>0</v>
      </c>
      <c r="I41">
        <f t="shared" si="1"/>
        <v>0</v>
      </c>
      <c r="J41" s="90">
        <f>Bilanca!K49</f>
        <v>0</v>
      </c>
      <c r="K41" s="91">
        <f>Bilanca!L49</f>
        <v>0</v>
      </c>
      <c r="L41" s="90"/>
      <c r="M41" s="92"/>
      <c r="N41" s="92"/>
      <c r="O41" s="92"/>
      <c r="P41" s="92"/>
      <c r="Q41" s="92"/>
      <c r="R41" s="92"/>
      <c r="S41" s="92"/>
      <c r="T41" s="92"/>
      <c r="U41" s="92"/>
      <c r="V41" s="92"/>
      <c r="W41" s="92"/>
      <c r="X41" s="91"/>
      <c r="Y41" s="30" t="str">
        <f>IF(ListaMB!D48&lt;&gt;"", TEXT(ListaMB!B48, "00000000"), "")</f>
        <v/>
      </c>
      <c r="Z41" s="30" t="str">
        <f>IF(ListaMB!D48&lt;&gt;"", ListaMB!D48, "")</f>
        <v/>
      </c>
      <c r="AA41" s="30" t="str">
        <f>IF(ListaMB!D48&lt;&gt;"", ListaMB!I48, "")</f>
        <v/>
      </c>
      <c r="AB41" s="31">
        <f>IF(ListaMB!D48&lt;&gt;"", ListaMB!K48, 0)</f>
        <v>0</v>
      </c>
      <c r="AC41">
        <f t="shared" si="2"/>
        <v>0</v>
      </c>
    </row>
    <row r="42" spans="1:29" hidden="1" x14ac:dyDescent="0.2">
      <c r="A42" t="s">
        <v>890</v>
      </c>
      <c r="B42" s="27" t="str">
        <f>TRIM(Opci!C69)</f>
        <v>draga.celiscak@podravka.hr</v>
      </c>
      <c r="D42" t="s">
        <v>439</v>
      </c>
      <c r="E42">
        <v>1</v>
      </c>
      <c r="F42">
        <f>Bilanca!I50</f>
        <v>41</v>
      </c>
      <c r="G42" t="str">
        <f>IF(Bilanca!J50=0,"",Bilanca!J50)</f>
        <v/>
      </c>
      <c r="H42" s="49">
        <f t="shared" si="0"/>
        <v>0</v>
      </c>
      <c r="I42">
        <f t="shared" si="1"/>
        <v>0</v>
      </c>
      <c r="J42" s="90">
        <f>Bilanca!K50</f>
        <v>0</v>
      </c>
      <c r="K42" s="91">
        <f>Bilanca!L50</f>
        <v>0</v>
      </c>
      <c r="L42" s="90"/>
      <c r="M42" s="92"/>
      <c r="N42" s="92"/>
      <c r="O42" s="92"/>
      <c r="P42" s="92"/>
      <c r="Q42" s="92"/>
      <c r="R42" s="92"/>
      <c r="S42" s="92"/>
      <c r="T42" s="92"/>
      <c r="U42" s="92"/>
      <c r="V42" s="92"/>
      <c r="W42" s="92"/>
      <c r="X42" s="91"/>
      <c r="Y42" s="30" t="str">
        <f>IF(ListaMB!D49&lt;&gt;"", TEXT(ListaMB!B49, "00000000"), "")</f>
        <v/>
      </c>
      <c r="Z42" s="30" t="str">
        <f>IF(ListaMB!D49&lt;&gt;"", ListaMB!D49, "")</f>
        <v/>
      </c>
      <c r="AA42" s="30" t="str">
        <f>IF(ListaMB!D49&lt;&gt;"", ListaMB!I49, "")</f>
        <v/>
      </c>
      <c r="AB42" s="31">
        <f>IF(ListaMB!D49&lt;&gt;"", ListaMB!K49, 0)</f>
        <v>0</v>
      </c>
      <c r="AC42">
        <f t="shared" si="2"/>
        <v>0</v>
      </c>
    </row>
    <row r="43" spans="1:29" hidden="1" x14ac:dyDescent="0.2">
      <c r="A43" t="s">
        <v>889</v>
      </c>
      <c r="B43" s="27" t="str">
        <f>TRIM(Opci!C71)</f>
        <v>Šestak Zdravko</v>
      </c>
      <c r="D43" t="s">
        <v>439</v>
      </c>
      <c r="E43">
        <v>1</v>
      </c>
      <c r="F43">
        <f>Bilanca!I51</f>
        <v>42</v>
      </c>
      <c r="G43" t="str">
        <f>IF(Bilanca!J51=0,"",Bilanca!J51)</f>
        <v/>
      </c>
      <c r="H43" s="49">
        <f t="shared" si="0"/>
        <v>1348666620</v>
      </c>
      <c r="I43">
        <f t="shared" si="1"/>
        <v>0</v>
      </c>
      <c r="J43" s="90">
        <f>Bilanca!K51</f>
        <v>1019367000</v>
      </c>
      <c r="K43" s="91">
        <f>Bilanca!L51</f>
        <v>1095872000</v>
      </c>
      <c r="L43" s="90"/>
      <c r="M43" s="92"/>
      <c r="N43" s="92"/>
      <c r="O43" s="92"/>
      <c r="P43" s="92"/>
      <c r="Q43" s="92"/>
      <c r="R43" s="92"/>
      <c r="S43" s="92"/>
      <c r="T43" s="92"/>
      <c r="U43" s="92"/>
      <c r="V43" s="92"/>
      <c r="W43" s="92"/>
      <c r="X43" s="91"/>
      <c r="Y43" s="30" t="str">
        <f>IF(ListaMB!D50&lt;&gt;"", TEXT(ListaMB!B50, "00000000"), "")</f>
        <v/>
      </c>
      <c r="Z43" s="30" t="str">
        <f>IF(ListaMB!D50&lt;&gt;"", ListaMB!D50, "")</f>
        <v/>
      </c>
      <c r="AA43" s="30" t="str">
        <f>IF(ListaMB!D50&lt;&gt;"", ListaMB!I50, "")</f>
        <v/>
      </c>
      <c r="AB43" s="31">
        <f>IF(ListaMB!D50&lt;&gt;"", ListaMB!K50, 0)</f>
        <v>0</v>
      </c>
      <c r="AC43">
        <f t="shared" si="2"/>
        <v>0</v>
      </c>
    </row>
    <row r="44" spans="1:29" hidden="1" x14ac:dyDescent="0.2">
      <c r="A44" t="s">
        <v>1890</v>
      </c>
      <c r="B44" s="27" t="str">
        <f>IF(Opci!E5&lt;&gt;"",TEXT(Opci!E5,"YYYYMMDD"),"")</f>
        <v>20090101</v>
      </c>
      <c r="D44" t="s">
        <v>439</v>
      </c>
      <c r="E44">
        <v>1</v>
      </c>
      <c r="F44">
        <f>Bilanca!I52</f>
        <v>43</v>
      </c>
      <c r="G44" t="str">
        <f>IF(Bilanca!J52=0,"",Bilanca!J52)</f>
        <v/>
      </c>
      <c r="H44" s="49">
        <f t="shared" si="0"/>
        <v>0</v>
      </c>
      <c r="I44">
        <f t="shared" si="1"/>
        <v>0</v>
      </c>
      <c r="J44" s="90">
        <f>Bilanca!K52</f>
        <v>0</v>
      </c>
      <c r="K44" s="91">
        <f>Bilanca!L52</f>
        <v>0</v>
      </c>
      <c r="L44" s="90"/>
      <c r="M44" s="92"/>
      <c r="N44" s="92"/>
      <c r="O44" s="92"/>
      <c r="P44" s="92"/>
      <c r="Q44" s="92"/>
      <c r="R44" s="92"/>
      <c r="S44" s="92"/>
      <c r="T44" s="92"/>
      <c r="U44" s="92"/>
      <c r="V44" s="92"/>
      <c r="W44" s="92"/>
      <c r="X44" s="91"/>
      <c r="Y44" s="30" t="str">
        <f>IF(ListaMB!D51&lt;&gt;"", TEXT(ListaMB!B51, "00000000"), "")</f>
        <v/>
      </c>
      <c r="Z44" s="30" t="str">
        <f>IF(ListaMB!D51&lt;&gt;"", ListaMB!D51, "")</f>
        <v/>
      </c>
      <c r="AA44" s="30" t="str">
        <f>IF(ListaMB!D51&lt;&gt;"", ListaMB!I51, "")</f>
        <v/>
      </c>
      <c r="AB44" s="31">
        <f>IF(ListaMB!D51&lt;&gt;"", ListaMB!K51, 0)</f>
        <v>0</v>
      </c>
      <c r="AC44">
        <f t="shared" si="2"/>
        <v>0</v>
      </c>
    </row>
    <row r="45" spans="1:29" hidden="1" x14ac:dyDescent="0.2">
      <c r="A45" t="s">
        <v>1891</v>
      </c>
      <c r="B45" s="27" t="str">
        <f>IF(Opci!H5&lt;&gt;"",TEXT(Opci!H5,"YYYYMMDD"),"")</f>
        <v>20090331</v>
      </c>
      <c r="D45" t="s">
        <v>439</v>
      </c>
      <c r="E45">
        <v>1</v>
      </c>
      <c r="F45">
        <f>Bilanca!I53</f>
        <v>44</v>
      </c>
      <c r="G45" t="str">
        <f>IF(Bilanca!J53=0,"",Bilanca!J53)</f>
        <v/>
      </c>
      <c r="H45" s="49">
        <f t="shared" si="0"/>
        <v>1325624080</v>
      </c>
      <c r="I45">
        <f t="shared" si="1"/>
        <v>0</v>
      </c>
      <c r="J45" s="90">
        <f>Bilanca!K53</f>
        <v>952746000</v>
      </c>
      <c r="K45" s="91">
        <f>Bilanca!L53</f>
        <v>1030018000</v>
      </c>
      <c r="L45" s="90"/>
      <c r="M45" s="92"/>
      <c r="N45" s="92"/>
      <c r="O45" s="92"/>
      <c r="P45" s="92"/>
      <c r="Q45" s="92"/>
      <c r="R45" s="92"/>
      <c r="S45" s="92"/>
      <c r="T45" s="92"/>
      <c r="U45" s="92"/>
      <c r="V45" s="92"/>
      <c r="W45" s="92"/>
      <c r="X45" s="91"/>
      <c r="Y45" s="30" t="str">
        <f>IF(ListaMB!D52&lt;&gt;"", TEXT(ListaMB!B52, "00000000"), "")</f>
        <v/>
      </c>
      <c r="Z45" s="30" t="str">
        <f>IF(ListaMB!D52&lt;&gt;"", ListaMB!D52, "")</f>
        <v/>
      </c>
      <c r="AA45" s="30" t="str">
        <f>IF(ListaMB!D52&lt;&gt;"", ListaMB!I52, "")</f>
        <v/>
      </c>
      <c r="AB45" s="31">
        <f>IF(ListaMB!D52&lt;&gt;"", ListaMB!K52, 0)</f>
        <v>0</v>
      </c>
      <c r="AC45">
        <f t="shared" si="2"/>
        <v>0</v>
      </c>
    </row>
    <row r="46" spans="1:29" hidden="1" x14ac:dyDescent="0.2">
      <c r="A46" t="s">
        <v>1880</v>
      </c>
      <c r="B46" s="27" t="str">
        <f>IF(Bilanca!O1&gt;0,"DA", "NE")</f>
        <v>DA</v>
      </c>
      <c r="D46" t="s">
        <v>439</v>
      </c>
      <c r="E46">
        <v>1</v>
      </c>
      <c r="F46">
        <f>Bilanca!I54</f>
        <v>45</v>
      </c>
      <c r="G46" t="str">
        <f>IF(Bilanca!J54=0,"",Bilanca!J54)</f>
        <v/>
      </c>
      <c r="H46" s="49">
        <f t="shared" si="0"/>
        <v>0</v>
      </c>
      <c r="I46">
        <f t="shared" si="1"/>
        <v>0</v>
      </c>
      <c r="J46" s="90">
        <f>Bilanca!K54</f>
        <v>0</v>
      </c>
      <c r="K46" s="91">
        <f>Bilanca!L54</f>
        <v>0</v>
      </c>
      <c r="L46" s="90"/>
      <c r="M46" s="92"/>
      <c r="N46" s="92"/>
      <c r="O46" s="92"/>
      <c r="P46" s="92"/>
      <c r="Q46" s="92"/>
      <c r="R46" s="92"/>
      <c r="S46" s="92"/>
      <c r="T46" s="92"/>
      <c r="U46" s="92"/>
      <c r="V46" s="92"/>
      <c r="W46" s="92"/>
      <c r="X46" s="91"/>
      <c r="Y46" s="30" t="str">
        <f>IF(ListaMB!D53&lt;&gt;"", TEXT(ListaMB!B53, "00000000"), "")</f>
        <v/>
      </c>
      <c r="Z46" s="30" t="str">
        <f>IF(ListaMB!D53&lt;&gt;"", ListaMB!D53, "")</f>
        <v/>
      </c>
      <c r="AA46" s="30" t="str">
        <f>IF(ListaMB!D53&lt;&gt;"", ListaMB!I53, "")</f>
        <v/>
      </c>
      <c r="AB46" s="31">
        <f>IF(ListaMB!D53&lt;&gt;"", ListaMB!K53, 0)</f>
        <v>0</v>
      </c>
      <c r="AC46">
        <f t="shared" si="2"/>
        <v>0</v>
      </c>
    </row>
    <row r="47" spans="1:29" hidden="1" x14ac:dyDescent="0.2">
      <c r="A47" t="s">
        <v>1879</v>
      </c>
      <c r="B47" s="27" t="str">
        <f>IF(RDG!O1&gt;0, "DA","NE")</f>
        <v>DA</v>
      </c>
      <c r="D47" t="s">
        <v>439</v>
      </c>
      <c r="E47">
        <v>1</v>
      </c>
      <c r="F47">
        <f>Bilanca!I55</f>
        <v>46</v>
      </c>
      <c r="G47" t="str">
        <f>IF(Bilanca!J55=0,"",Bilanca!J55)</f>
        <v/>
      </c>
      <c r="H47" s="49">
        <f t="shared" si="0"/>
        <v>3458280</v>
      </c>
      <c r="I47">
        <f t="shared" si="1"/>
        <v>0</v>
      </c>
      <c r="J47" s="90">
        <f>Bilanca!K55</f>
        <v>2928000</v>
      </c>
      <c r="K47" s="91">
        <f>Bilanca!L55</f>
        <v>2295000</v>
      </c>
      <c r="L47" s="90"/>
      <c r="M47" s="92"/>
      <c r="N47" s="92"/>
      <c r="O47" s="92"/>
      <c r="P47" s="92"/>
      <c r="Q47" s="92"/>
      <c r="R47" s="92"/>
      <c r="S47" s="92"/>
      <c r="T47" s="92"/>
      <c r="U47" s="92"/>
      <c r="V47" s="92"/>
      <c r="W47" s="92"/>
      <c r="X47" s="91"/>
      <c r="Y47" s="30" t="str">
        <f>IF(ListaMB!D54&lt;&gt;"", TEXT(ListaMB!B54, "00000000"), "")</f>
        <v/>
      </c>
      <c r="Z47" s="30" t="str">
        <f>IF(ListaMB!D54&lt;&gt;"", ListaMB!D54, "")</f>
        <v/>
      </c>
      <c r="AA47" s="30" t="str">
        <f>IF(ListaMB!D54&lt;&gt;"", ListaMB!I54, "")</f>
        <v/>
      </c>
      <c r="AB47" s="31">
        <f>IF(ListaMB!D54&lt;&gt;"", ListaMB!K54, 0)</f>
        <v>0</v>
      </c>
      <c r="AC47">
        <f t="shared" si="2"/>
        <v>0</v>
      </c>
    </row>
    <row r="48" spans="1:29" hidden="1" x14ac:dyDescent="0.2">
      <c r="A48" t="s">
        <v>1881</v>
      </c>
      <c r="B48" s="27" t="str">
        <f>Opci!H41</f>
        <v>NE</v>
      </c>
      <c r="D48" t="s">
        <v>439</v>
      </c>
      <c r="E48">
        <v>1</v>
      </c>
      <c r="F48">
        <f>Bilanca!I56</f>
        <v>47</v>
      </c>
      <c r="G48" t="str">
        <f>IF(Bilanca!J56=0,"",Bilanca!J56)</f>
        <v/>
      </c>
      <c r="H48" s="49">
        <f t="shared" si="0"/>
        <v>75534640</v>
      </c>
      <c r="I48">
        <f t="shared" si="1"/>
        <v>0</v>
      </c>
      <c r="J48" s="90">
        <f>Bilanca!K56</f>
        <v>51062000</v>
      </c>
      <c r="K48" s="91">
        <f>Bilanca!L56</f>
        <v>54825000</v>
      </c>
      <c r="L48" s="90"/>
      <c r="M48" s="92"/>
      <c r="N48" s="92"/>
      <c r="O48" s="92"/>
      <c r="P48" s="92"/>
      <c r="Q48" s="92"/>
      <c r="R48" s="92"/>
      <c r="S48" s="92"/>
      <c r="T48" s="92"/>
      <c r="U48" s="92"/>
      <c r="V48" s="92"/>
      <c r="W48" s="92"/>
      <c r="X48" s="91"/>
      <c r="Y48" s="30" t="str">
        <f>IF(ListaMB!D55&lt;&gt;"", TEXT(ListaMB!B55, "00000000"), "")</f>
        <v/>
      </c>
      <c r="Z48" s="30" t="str">
        <f>IF(ListaMB!D55&lt;&gt;"", ListaMB!D55, "")</f>
        <v/>
      </c>
      <c r="AA48" s="30" t="str">
        <f>IF(ListaMB!D55&lt;&gt;"", ListaMB!I55, "")</f>
        <v/>
      </c>
      <c r="AB48" s="31">
        <f>IF(ListaMB!D55&lt;&gt;"", ListaMB!K55, 0)</f>
        <v>0</v>
      </c>
      <c r="AC48">
        <f t="shared" si="2"/>
        <v>0</v>
      </c>
    </row>
    <row r="49" spans="1:29" hidden="1" x14ac:dyDescent="0.2">
      <c r="A49" t="s">
        <v>1883</v>
      </c>
      <c r="B49" s="27" t="str">
        <f>IF(NT_I!O1&gt;0,"DA","NE")</f>
        <v>DA</v>
      </c>
      <c r="D49" t="s">
        <v>439</v>
      </c>
      <c r="E49">
        <v>1</v>
      </c>
      <c r="F49">
        <f>Bilanca!I57</f>
        <v>48</v>
      </c>
      <c r="G49" t="str">
        <f>IF(Bilanca!J57=0,"",Bilanca!J57)</f>
        <v/>
      </c>
      <c r="H49" s="49">
        <f t="shared" si="0"/>
        <v>14447520</v>
      </c>
      <c r="I49">
        <f t="shared" si="1"/>
        <v>0</v>
      </c>
      <c r="J49" s="90">
        <f>Bilanca!K57</f>
        <v>12631000</v>
      </c>
      <c r="K49" s="91">
        <f>Bilanca!L57</f>
        <v>8734000</v>
      </c>
      <c r="L49" s="90"/>
      <c r="M49" s="92"/>
      <c r="N49" s="92"/>
      <c r="O49" s="92"/>
      <c r="P49" s="92"/>
      <c r="Q49" s="92"/>
      <c r="R49" s="92"/>
      <c r="S49" s="92"/>
      <c r="T49" s="92"/>
      <c r="U49" s="92"/>
      <c r="V49" s="92"/>
      <c r="W49" s="92"/>
      <c r="X49" s="91"/>
      <c r="Y49" s="30" t="str">
        <f>IF(ListaMB!D56&lt;&gt;"", TEXT(ListaMB!B56, "00000000"), "")</f>
        <v/>
      </c>
      <c r="Z49" s="30" t="str">
        <f>IF(ListaMB!D56&lt;&gt;"", ListaMB!D56, "")</f>
        <v/>
      </c>
      <c r="AA49" s="30" t="str">
        <f>IF(ListaMB!D56&lt;&gt;"", ListaMB!I56, "")</f>
        <v/>
      </c>
      <c r="AB49" s="31">
        <f>IF(ListaMB!D56&lt;&gt;"", ListaMB!K56, 0)</f>
        <v>0</v>
      </c>
      <c r="AC49">
        <f t="shared" si="2"/>
        <v>0</v>
      </c>
    </row>
    <row r="50" spans="1:29" hidden="1" x14ac:dyDescent="0.2">
      <c r="A50" t="s">
        <v>1882</v>
      </c>
      <c r="B50" s="27" t="str">
        <f>IF(NT_D!P1&gt;0, "DA", "NE")</f>
        <v>NE</v>
      </c>
      <c r="D50" t="s">
        <v>439</v>
      </c>
      <c r="E50">
        <v>1</v>
      </c>
      <c r="F50">
        <f>Bilanca!I58</f>
        <v>49</v>
      </c>
      <c r="G50" t="str">
        <f>IF(Bilanca!J58=0,"",Bilanca!J58)</f>
        <v/>
      </c>
      <c r="H50" s="49">
        <f t="shared" si="0"/>
        <v>256429740</v>
      </c>
      <c r="I50">
        <f t="shared" si="1"/>
        <v>0</v>
      </c>
      <c r="J50" s="90">
        <f>Bilanca!K58</f>
        <v>140568000</v>
      </c>
      <c r="K50" s="91">
        <f>Bilanca!L58</f>
        <v>191379000</v>
      </c>
      <c r="L50" s="90"/>
      <c r="M50" s="92"/>
      <c r="N50" s="92"/>
      <c r="O50" s="92"/>
      <c r="P50" s="92"/>
      <c r="Q50" s="92"/>
      <c r="R50" s="92"/>
      <c r="S50" s="92"/>
      <c r="T50" s="92"/>
      <c r="U50" s="92"/>
      <c r="V50" s="92"/>
      <c r="W50" s="92"/>
      <c r="X50" s="91"/>
      <c r="Y50" s="30" t="str">
        <f>IF(ListaMB!D57&lt;&gt;"", TEXT(ListaMB!B57, "00000000"), "")</f>
        <v/>
      </c>
      <c r="Z50" s="30" t="str">
        <f>IF(ListaMB!D57&lt;&gt;"", ListaMB!D57, "")</f>
        <v/>
      </c>
      <c r="AA50" s="30" t="str">
        <f>IF(ListaMB!D57&lt;&gt;"", ListaMB!I57, "")</f>
        <v/>
      </c>
      <c r="AB50" s="31">
        <f>IF(ListaMB!D57&lt;&gt;"", ListaMB!K57, 0)</f>
        <v>0</v>
      </c>
      <c r="AC50">
        <f t="shared" si="2"/>
        <v>0</v>
      </c>
    </row>
    <row r="51" spans="1:29" hidden="1" x14ac:dyDescent="0.2">
      <c r="A51" t="s">
        <v>1884</v>
      </c>
      <c r="B51" s="27" t="str">
        <f>Opci!H47</f>
        <v>DA</v>
      </c>
      <c r="D51" t="s">
        <v>439</v>
      </c>
      <c r="E51">
        <v>1</v>
      </c>
      <c r="F51">
        <f>Bilanca!I59</f>
        <v>50</v>
      </c>
      <c r="G51" t="str">
        <f>IF(Bilanca!J59=0,"",Bilanca!J59)</f>
        <v/>
      </c>
      <c r="H51" s="49">
        <f t="shared" si="0"/>
        <v>0</v>
      </c>
      <c r="I51">
        <f t="shared" si="1"/>
        <v>0</v>
      </c>
      <c r="J51" s="90">
        <f>Bilanca!K59</f>
        <v>0</v>
      </c>
      <c r="K51" s="91">
        <f>Bilanca!L59</f>
        <v>0</v>
      </c>
      <c r="L51" s="90"/>
      <c r="M51" s="92"/>
      <c r="N51" s="92"/>
      <c r="O51" s="92"/>
      <c r="P51" s="92"/>
      <c r="Q51" s="92"/>
      <c r="R51" s="92"/>
      <c r="S51" s="92"/>
      <c r="T51" s="92"/>
      <c r="U51" s="92"/>
      <c r="V51" s="92"/>
      <c r="W51" s="92"/>
      <c r="X51" s="91"/>
      <c r="Y51" s="30" t="str">
        <f>IF(ListaMB!D58&lt;&gt;"", TEXT(ListaMB!B58, "00000000"), "")</f>
        <v/>
      </c>
      <c r="Z51" s="30" t="str">
        <f>IF(ListaMB!D58&lt;&gt;"", ListaMB!D58, "")</f>
        <v/>
      </c>
      <c r="AA51" s="30" t="str">
        <f>IF(ListaMB!D58&lt;&gt;"", ListaMB!I58, "")</f>
        <v/>
      </c>
      <c r="AB51" s="31">
        <f>IF(ListaMB!D58&lt;&gt;"", ListaMB!K58, 0)</f>
        <v>0</v>
      </c>
      <c r="AC51">
        <f t="shared" si="2"/>
        <v>0</v>
      </c>
    </row>
    <row r="52" spans="1:29" hidden="1" x14ac:dyDescent="0.2">
      <c r="A52" t="s">
        <v>1790</v>
      </c>
      <c r="B52" s="27" t="str">
        <f>IF(ListaMB!O1&gt;0,"DA", "NE")</f>
        <v>NE</v>
      </c>
      <c r="D52" t="s">
        <v>439</v>
      </c>
      <c r="E52">
        <v>1</v>
      </c>
      <c r="F52">
        <f>Bilanca!I60</f>
        <v>51</v>
      </c>
      <c r="G52" t="str">
        <f>IF(Bilanca!J60=0,"",Bilanca!J60)</f>
        <v/>
      </c>
      <c r="H52" s="49">
        <f t="shared" si="0"/>
        <v>0</v>
      </c>
      <c r="I52">
        <f t="shared" si="1"/>
        <v>0</v>
      </c>
      <c r="J52" s="90">
        <f>Bilanca!K60</f>
        <v>0</v>
      </c>
      <c r="K52" s="91">
        <f>Bilanca!L60</f>
        <v>0</v>
      </c>
      <c r="L52" s="90"/>
      <c r="M52" s="92"/>
      <c r="N52" s="92"/>
      <c r="O52" s="92"/>
      <c r="P52" s="92"/>
      <c r="Q52" s="92"/>
      <c r="R52" s="92"/>
      <c r="S52" s="92"/>
      <c r="T52" s="92"/>
      <c r="U52" s="92"/>
      <c r="V52" s="92"/>
      <c r="W52" s="92"/>
      <c r="X52" s="91"/>
      <c r="Y52" s="30" t="str">
        <f>IF(ListaMB!D59&lt;&gt;"", TEXT(ListaMB!B59, "00000000"), "")</f>
        <v/>
      </c>
      <c r="Z52" s="30" t="str">
        <f>IF(ListaMB!D59&lt;&gt;"", ListaMB!D59, "")</f>
        <v/>
      </c>
      <c r="AA52" s="30" t="str">
        <f>IF(ListaMB!D59&lt;&gt;"", ListaMB!I59, "")</f>
        <v/>
      </c>
      <c r="AB52" s="31">
        <f>IF(ListaMB!D59&lt;&gt;"", ListaMB!K59, 0)</f>
        <v>0</v>
      </c>
      <c r="AC52">
        <f t="shared" si="2"/>
        <v>0</v>
      </c>
    </row>
    <row r="53" spans="1:29" hidden="1" x14ac:dyDescent="0.2">
      <c r="A53" t="s">
        <v>891</v>
      </c>
      <c r="B53" s="27" t="str">
        <f>Opci!H43</f>
        <v>NE</v>
      </c>
      <c r="D53" t="s">
        <v>439</v>
      </c>
      <c r="E53">
        <v>1</v>
      </c>
      <c r="F53">
        <f>Bilanca!I61</f>
        <v>52</v>
      </c>
      <c r="G53" t="str">
        <f>IF(Bilanca!J61=0,"",Bilanca!J61)</f>
        <v/>
      </c>
      <c r="H53" s="49">
        <f t="shared" si="0"/>
        <v>400400</v>
      </c>
      <c r="I53">
        <f t="shared" si="1"/>
        <v>0</v>
      </c>
      <c r="J53" s="90">
        <f>Bilanca!K61</f>
        <v>110000</v>
      </c>
      <c r="K53" s="91">
        <f>Bilanca!L61</f>
        <v>330000</v>
      </c>
      <c r="L53" s="90"/>
      <c r="M53" s="92"/>
      <c r="N53" s="92"/>
      <c r="O53" s="92"/>
      <c r="P53" s="92"/>
      <c r="Q53" s="92"/>
      <c r="R53" s="92"/>
      <c r="S53" s="92"/>
      <c r="T53" s="92"/>
      <c r="U53" s="92"/>
      <c r="V53" s="92"/>
      <c r="W53" s="92"/>
      <c r="X53" s="91"/>
      <c r="Y53" s="30" t="str">
        <f>IF(ListaMB!D60&lt;&gt;"", TEXT(ListaMB!B60, "00000000"), "")</f>
        <v/>
      </c>
      <c r="Z53" s="30" t="str">
        <f>IF(ListaMB!D60&lt;&gt;"", ListaMB!D60, "")</f>
        <v/>
      </c>
      <c r="AA53" s="30" t="str">
        <f>IF(ListaMB!D60&lt;&gt;"", ListaMB!I60, "")</f>
        <v/>
      </c>
      <c r="AB53" s="31">
        <f>IF(ListaMB!D60&lt;&gt;"", ListaMB!K60, 0)</f>
        <v>0</v>
      </c>
      <c r="AC53">
        <f t="shared" si="2"/>
        <v>0</v>
      </c>
    </row>
    <row r="54" spans="1:29" hidden="1" x14ac:dyDescent="0.2">
      <c r="A54" t="s">
        <v>892</v>
      </c>
      <c r="B54" s="27" t="str">
        <f>Opci!H49</f>
        <v>NE</v>
      </c>
      <c r="D54" t="s">
        <v>439</v>
      </c>
      <c r="E54">
        <v>1</v>
      </c>
      <c r="F54">
        <f>Bilanca!I62</f>
        <v>53</v>
      </c>
      <c r="G54" t="str">
        <f>IF(Bilanca!J62=0,"",Bilanca!J62)</f>
        <v/>
      </c>
      <c r="H54" s="49">
        <f t="shared" si="0"/>
        <v>100546830</v>
      </c>
      <c r="I54">
        <f t="shared" si="1"/>
        <v>0</v>
      </c>
      <c r="J54" s="90">
        <f>Bilanca!K62</f>
        <v>36643000</v>
      </c>
      <c r="K54" s="91">
        <f>Bilanca!L62</f>
        <v>76534000</v>
      </c>
      <c r="L54" s="90"/>
      <c r="M54" s="92"/>
      <c r="N54" s="92"/>
      <c r="O54" s="92"/>
      <c r="P54" s="92"/>
      <c r="Q54" s="92"/>
      <c r="R54" s="92"/>
      <c r="S54" s="92"/>
      <c r="T54" s="92"/>
      <c r="U54" s="92"/>
      <c r="V54" s="92"/>
      <c r="W54" s="92"/>
      <c r="X54" s="91"/>
      <c r="Y54" s="30" t="str">
        <f>IF(ListaMB!D61&lt;&gt;"", TEXT(ListaMB!B61, "00000000"), "")</f>
        <v/>
      </c>
      <c r="Z54" s="30" t="str">
        <f>IF(ListaMB!D61&lt;&gt;"", ListaMB!D61, "")</f>
        <v/>
      </c>
      <c r="AA54" s="30" t="str">
        <f>IF(ListaMB!D61&lt;&gt;"", ListaMB!I61, "")</f>
        <v/>
      </c>
      <c r="AB54" s="31">
        <f>IF(ListaMB!D61&lt;&gt;"", ListaMB!K61, 0)</f>
        <v>0</v>
      </c>
      <c r="AC54">
        <f t="shared" si="2"/>
        <v>0</v>
      </c>
    </row>
    <row r="55" spans="1:29" hidden="1" x14ac:dyDescent="0.2">
      <c r="A55" t="s">
        <v>893</v>
      </c>
      <c r="B55" s="27" t="str">
        <f>Opci!H51</f>
        <v>NE</v>
      </c>
      <c r="D55" t="s">
        <v>439</v>
      </c>
      <c r="E55">
        <v>1</v>
      </c>
      <c r="F55">
        <f>Bilanca!I63</f>
        <v>54</v>
      </c>
      <c r="G55" t="str">
        <f>IF(Bilanca!J63=0,"",Bilanca!J63)</f>
        <v/>
      </c>
      <c r="H55" s="49">
        <f t="shared" si="0"/>
        <v>123397020</v>
      </c>
      <c r="I55">
        <f t="shared" si="1"/>
        <v>0</v>
      </c>
      <c r="J55" s="90">
        <f>Bilanca!K63</f>
        <v>76031000</v>
      </c>
      <c r="K55" s="91">
        <f>Bilanca!L63</f>
        <v>76241000</v>
      </c>
      <c r="L55" s="90"/>
      <c r="M55" s="92"/>
      <c r="N55" s="92"/>
      <c r="O55" s="92"/>
      <c r="P55" s="92"/>
      <c r="Q55" s="92"/>
      <c r="R55" s="92"/>
      <c r="S55" s="92"/>
      <c r="T55" s="92"/>
      <c r="U55" s="92"/>
      <c r="V55" s="92"/>
      <c r="W55" s="92"/>
      <c r="X55" s="91"/>
      <c r="Y55" s="30" t="str">
        <f>IF(ListaMB!D62&lt;&gt;"", TEXT(ListaMB!B62, "00000000"), "")</f>
        <v/>
      </c>
      <c r="Z55" s="30" t="str">
        <f>IF(ListaMB!D62&lt;&gt;"", ListaMB!D62, "")</f>
        <v/>
      </c>
      <c r="AA55" s="30" t="str">
        <f>IF(ListaMB!D62&lt;&gt;"", ListaMB!I62, "")</f>
        <v/>
      </c>
      <c r="AB55" s="31">
        <f>IF(ListaMB!D62&lt;&gt;"", ListaMB!K62, 0)</f>
        <v>0</v>
      </c>
      <c r="AC55">
        <f t="shared" si="2"/>
        <v>0</v>
      </c>
    </row>
    <row r="56" spans="1:29" hidden="1" x14ac:dyDescent="0.2">
      <c r="A56" t="s">
        <v>894</v>
      </c>
      <c r="B56" s="27" t="str">
        <f>Opci!H53</f>
        <v>NE</v>
      </c>
      <c r="D56" t="s">
        <v>439</v>
      </c>
      <c r="E56">
        <v>1</v>
      </c>
      <c r="F56">
        <f>Bilanca!I64</f>
        <v>55</v>
      </c>
      <c r="G56" t="str">
        <f>IF(Bilanca!J64=0,"",Bilanca!J64)</f>
        <v/>
      </c>
      <c r="H56" s="49">
        <f t="shared" si="0"/>
        <v>38917450</v>
      </c>
      <c r="I56">
        <f t="shared" si="1"/>
        <v>0</v>
      </c>
      <c r="J56" s="90">
        <f>Bilanca!K64</f>
        <v>9053000</v>
      </c>
      <c r="K56" s="91">
        <f>Bilanca!L64</f>
        <v>30853000</v>
      </c>
      <c r="L56" s="90"/>
      <c r="M56" s="92"/>
      <c r="N56" s="92"/>
      <c r="O56" s="92"/>
      <c r="P56" s="92"/>
      <c r="Q56" s="92"/>
      <c r="R56" s="92"/>
      <c r="S56" s="92"/>
      <c r="T56" s="92"/>
      <c r="U56" s="92"/>
      <c r="V56" s="92"/>
      <c r="W56" s="92"/>
      <c r="X56" s="91"/>
      <c r="Y56" s="30" t="str">
        <f>IF(ListaMB!D63&lt;&gt;"", TEXT(ListaMB!B63, "00000000"), "")</f>
        <v/>
      </c>
      <c r="Z56" s="30" t="str">
        <f>IF(ListaMB!D63&lt;&gt;"", ListaMB!D63, "")</f>
        <v/>
      </c>
      <c r="AA56" s="30" t="str">
        <f>IF(ListaMB!D63&lt;&gt;"", ListaMB!I63, "")</f>
        <v/>
      </c>
      <c r="AB56" s="31">
        <f>IF(ListaMB!D63&lt;&gt;"", ListaMB!K63, 0)</f>
        <v>0</v>
      </c>
      <c r="AC56">
        <f t="shared" si="2"/>
        <v>0</v>
      </c>
    </row>
    <row r="57" spans="1:29" hidden="1" x14ac:dyDescent="0.2">
      <c r="A57" t="s">
        <v>895</v>
      </c>
      <c r="B57" s="27" t="str">
        <f>Opci!H55</f>
        <v>NE</v>
      </c>
      <c r="D57" t="s">
        <v>439</v>
      </c>
      <c r="E57">
        <v>1</v>
      </c>
      <c r="F57">
        <f>Bilanca!I65</f>
        <v>56</v>
      </c>
      <c r="G57" t="str">
        <f>IF(Bilanca!J65=0,"",Bilanca!J65)</f>
        <v/>
      </c>
      <c r="H57" s="49">
        <f t="shared" si="0"/>
        <v>18800880</v>
      </c>
      <c r="I57">
        <f t="shared" si="1"/>
        <v>0</v>
      </c>
      <c r="J57" s="90">
        <f>Bilanca!K65</f>
        <v>18731000</v>
      </c>
      <c r="K57" s="91">
        <f>Bilanca!L65</f>
        <v>7421000</v>
      </c>
      <c r="L57" s="90"/>
      <c r="M57" s="92"/>
      <c r="N57" s="92"/>
      <c r="O57" s="92"/>
      <c r="P57" s="92"/>
      <c r="Q57" s="92"/>
      <c r="R57" s="92"/>
      <c r="S57" s="92"/>
      <c r="T57" s="92"/>
      <c r="U57" s="92"/>
      <c r="V57" s="92"/>
      <c r="W57" s="92"/>
      <c r="X57" s="91"/>
      <c r="Y57" s="30" t="str">
        <f>IF(ListaMB!D64&lt;&gt;"", TEXT(ListaMB!B64, "00000000"), "")</f>
        <v/>
      </c>
      <c r="Z57" s="30" t="str">
        <f>IF(ListaMB!D64&lt;&gt;"", ListaMB!D64, "")</f>
        <v/>
      </c>
      <c r="AA57" s="30" t="str">
        <f>IF(ListaMB!D64&lt;&gt;"", ListaMB!I64, "")</f>
        <v/>
      </c>
      <c r="AB57" s="31">
        <f>IF(ListaMB!D64&lt;&gt;"", ListaMB!K64, 0)</f>
        <v>0</v>
      </c>
      <c r="AC57">
        <f t="shared" si="2"/>
        <v>0</v>
      </c>
    </row>
    <row r="58" spans="1:29" hidden="1" x14ac:dyDescent="0.2">
      <c r="A58" t="s">
        <v>1905</v>
      </c>
      <c r="B58" s="27" t="str">
        <f>IF(Kont!M1&gt;0,"NE", "DA")</f>
        <v>NE</v>
      </c>
      <c r="D58" t="s">
        <v>439</v>
      </c>
      <c r="E58">
        <v>1</v>
      </c>
      <c r="F58">
        <f>Bilanca!I66</f>
        <v>57</v>
      </c>
      <c r="G58" t="str">
        <f>IF(Bilanca!J66=0,"",Bilanca!J66)</f>
        <v/>
      </c>
      <c r="H58" s="49">
        <f t="shared" si="0"/>
        <v>372386130</v>
      </c>
      <c r="I58">
        <f t="shared" si="1"/>
        <v>0</v>
      </c>
      <c r="J58" s="90">
        <f>Bilanca!K66</f>
        <v>66969000</v>
      </c>
      <c r="K58" s="91">
        <f>Bilanca!L66</f>
        <v>293170000</v>
      </c>
      <c r="L58" s="90"/>
      <c r="M58" s="92"/>
      <c r="N58" s="92"/>
      <c r="O58" s="92"/>
      <c r="P58" s="92"/>
      <c r="Q58" s="92"/>
      <c r="R58" s="92"/>
      <c r="S58" s="92"/>
      <c r="T58" s="92"/>
      <c r="U58" s="92"/>
      <c r="V58" s="92"/>
      <c r="W58" s="92"/>
      <c r="X58" s="91"/>
      <c r="Y58" s="30" t="str">
        <f>IF(ListaMB!D65&lt;&gt;"", TEXT(ListaMB!B65, "00000000"), "")</f>
        <v/>
      </c>
      <c r="Z58" s="30" t="str">
        <f>IF(ListaMB!D65&lt;&gt;"", ListaMB!D65, "")</f>
        <v/>
      </c>
      <c r="AA58" s="30" t="str">
        <f>IF(ListaMB!D65&lt;&gt;"", ListaMB!I65, "")</f>
        <v/>
      </c>
      <c r="AB58" s="31">
        <f>IF(ListaMB!D65&lt;&gt;"", ListaMB!K65, 0)</f>
        <v>0</v>
      </c>
      <c r="AC58">
        <f t="shared" si="2"/>
        <v>0</v>
      </c>
    </row>
    <row r="59" spans="1:29" hidden="1" x14ac:dyDescent="0.2">
      <c r="A59" t="s">
        <v>2541</v>
      </c>
      <c r="B59" s="49">
        <f>SUM(H2:H386)+SUM(Opci!P2:AJ2)+SUM(AC2:AC101)</f>
        <v>81189759177.479996</v>
      </c>
      <c r="D59" t="s">
        <v>439</v>
      </c>
      <c r="E59">
        <v>1</v>
      </c>
      <c r="F59">
        <f>Bilanca!I67</f>
        <v>58</v>
      </c>
      <c r="G59" t="str">
        <f>IF(Bilanca!J67=0,"",Bilanca!J67)</f>
        <v/>
      </c>
      <c r="H59" s="49">
        <f t="shared" si="0"/>
        <v>20323200</v>
      </c>
      <c r="I59">
        <f t="shared" si="1"/>
        <v>0</v>
      </c>
      <c r="J59" s="90">
        <f>Bilanca!K67</f>
        <v>5666000</v>
      </c>
      <c r="K59" s="91">
        <f>Bilanca!L67</f>
        <v>14687000</v>
      </c>
      <c r="L59" s="90"/>
      <c r="M59" s="92"/>
      <c r="N59" s="92"/>
      <c r="O59" s="92"/>
      <c r="P59" s="92"/>
      <c r="Q59" s="92"/>
      <c r="R59" s="92"/>
      <c r="S59" s="92"/>
      <c r="T59" s="92"/>
      <c r="U59" s="92"/>
      <c r="V59" s="92"/>
      <c r="W59" s="92"/>
      <c r="X59" s="91"/>
      <c r="Y59" s="30" t="str">
        <f>IF(ListaMB!D66&lt;&gt;"", TEXT(ListaMB!B66, "00000000"), "")</f>
        <v/>
      </c>
      <c r="Z59" s="30" t="str">
        <f>IF(ListaMB!D66&lt;&gt;"", ListaMB!D66, "")</f>
        <v/>
      </c>
      <c r="AA59" s="30" t="str">
        <f>IF(ListaMB!D66&lt;&gt;"", ListaMB!I66, "")</f>
        <v/>
      </c>
      <c r="AB59" s="31">
        <f>IF(ListaMB!D66&lt;&gt;"", ListaMB!K66, 0)</f>
        <v>0</v>
      </c>
      <c r="AC59">
        <f t="shared" si="2"/>
        <v>0</v>
      </c>
    </row>
    <row r="60" spans="1:29" hidden="1" x14ac:dyDescent="0.2">
      <c r="A60" t="s">
        <v>259</v>
      </c>
      <c r="B60" s="27">
        <f>IF(Opci!E9&lt;&gt;"",LOOKUP(Opci!E9,Opci!AB29:AB44,Opci!AD29:AD44),"")</f>
        <v>4</v>
      </c>
      <c r="D60" t="s">
        <v>439</v>
      </c>
      <c r="E60">
        <v>1</v>
      </c>
      <c r="F60">
        <f>Bilanca!I68</f>
        <v>59</v>
      </c>
      <c r="G60" t="str">
        <f>IF(Bilanca!J68=0,"",Bilanca!J68)</f>
        <v/>
      </c>
      <c r="H60" s="49">
        <f t="shared" si="0"/>
        <v>0</v>
      </c>
      <c r="I60">
        <f t="shared" si="1"/>
        <v>0</v>
      </c>
      <c r="J60" s="90">
        <f>Bilanca!K68</f>
        <v>0</v>
      </c>
      <c r="K60" s="91">
        <f>Bilanca!L68</f>
        <v>0</v>
      </c>
      <c r="L60" s="90"/>
      <c r="M60" s="92"/>
      <c r="N60" s="92"/>
      <c r="O60" s="92"/>
      <c r="P60" s="92"/>
      <c r="Q60" s="92"/>
      <c r="R60" s="92"/>
      <c r="S60" s="92"/>
      <c r="T60" s="92"/>
      <c r="U60" s="92"/>
      <c r="V60" s="92"/>
      <c r="W60" s="92"/>
      <c r="X60" s="91"/>
      <c r="Y60" s="30" t="str">
        <f>IF(ListaMB!D67&lt;&gt;"", TEXT(ListaMB!B67, "00000000"), "")</f>
        <v/>
      </c>
      <c r="Z60" s="30" t="str">
        <f>IF(ListaMB!D67&lt;&gt;"", ListaMB!D67, "")</f>
        <v/>
      </c>
      <c r="AA60" s="30" t="str">
        <f>IF(ListaMB!D67&lt;&gt;"", ListaMB!I67, "")</f>
        <v/>
      </c>
      <c r="AB60" s="31">
        <f>IF(ListaMB!D67&lt;&gt;"", ListaMB!K67, 0)</f>
        <v>0</v>
      </c>
      <c r="AC60">
        <f t="shared" si="2"/>
        <v>0</v>
      </c>
    </row>
    <row r="61" spans="1:29" hidden="1" x14ac:dyDescent="0.2">
      <c r="A61" t="s">
        <v>2193</v>
      </c>
      <c r="B61" s="49">
        <f>SUM(AC2:AC101)</f>
        <v>1165</v>
      </c>
      <c r="D61" t="s">
        <v>439</v>
      </c>
      <c r="E61">
        <v>1</v>
      </c>
      <c r="F61">
        <f>Bilanca!I69</f>
        <v>60</v>
      </c>
      <c r="G61" t="str">
        <f>IF(Bilanca!J69=0,"",Bilanca!J69)</f>
        <v/>
      </c>
      <c r="H61" s="49">
        <f t="shared" si="0"/>
        <v>7727236200</v>
      </c>
      <c r="I61">
        <f t="shared" si="1"/>
        <v>0</v>
      </c>
      <c r="J61" s="90">
        <f>Bilanca!K69</f>
        <v>3844535000</v>
      </c>
      <c r="K61" s="91">
        <f>Bilanca!L69</f>
        <v>4517096000</v>
      </c>
      <c r="L61" s="90"/>
      <c r="M61" s="92"/>
      <c r="N61" s="92"/>
      <c r="O61" s="92"/>
      <c r="P61" s="92"/>
      <c r="Q61" s="92"/>
      <c r="R61" s="92"/>
      <c r="S61" s="92"/>
      <c r="T61" s="92"/>
      <c r="U61" s="92"/>
      <c r="V61" s="92"/>
      <c r="W61" s="92"/>
      <c r="X61" s="91"/>
      <c r="Y61" s="30" t="str">
        <f>IF(ListaMB!D68&lt;&gt;"", TEXT(ListaMB!B68, "00000000"), "")</f>
        <v/>
      </c>
      <c r="Z61" s="30" t="str">
        <f>IF(ListaMB!D68&lt;&gt;"", ListaMB!D68, "")</f>
        <v/>
      </c>
      <c r="AA61" s="30" t="str">
        <f>IF(ListaMB!D68&lt;&gt;"", ListaMB!I68, "")</f>
        <v/>
      </c>
      <c r="AB61" s="31">
        <f>IF(ListaMB!D68&lt;&gt;"", ListaMB!K68, 0)</f>
        <v>0</v>
      </c>
      <c r="AC61">
        <f t="shared" si="2"/>
        <v>0</v>
      </c>
    </row>
    <row r="62" spans="1:29" hidden="1" x14ac:dyDescent="0.2">
      <c r="D62" t="s">
        <v>439</v>
      </c>
      <c r="E62">
        <v>1</v>
      </c>
      <c r="F62">
        <f>Bilanca!I70</f>
        <v>61</v>
      </c>
      <c r="G62" t="str">
        <f>IF(Bilanca!J70=0,"",Bilanca!J70)</f>
        <v/>
      </c>
      <c r="H62" s="49">
        <f t="shared" si="0"/>
        <v>0</v>
      </c>
      <c r="I62">
        <f t="shared" si="1"/>
        <v>0</v>
      </c>
      <c r="J62" s="90">
        <f>Bilanca!K70</f>
        <v>0</v>
      </c>
      <c r="K62" s="91">
        <f>Bilanca!L70</f>
        <v>0</v>
      </c>
      <c r="L62" s="90"/>
      <c r="M62" s="92"/>
      <c r="N62" s="92"/>
      <c r="O62" s="92"/>
      <c r="P62" s="92"/>
      <c r="Q62" s="92"/>
      <c r="R62" s="92"/>
      <c r="S62" s="92"/>
      <c r="T62" s="92"/>
      <c r="U62" s="92"/>
      <c r="V62" s="92"/>
      <c r="W62" s="92"/>
      <c r="X62" s="91"/>
      <c r="Y62" s="30" t="str">
        <f>IF(ListaMB!D69&lt;&gt;"", TEXT(ListaMB!B69, "00000000"), "")</f>
        <v/>
      </c>
      <c r="Z62" s="30" t="str">
        <f>IF(ListaMB!D69&lt;&gt;"", ListaMB!D69, "")</f>
        <v/>
      </c>
      <c r="AA62" s="30" t="str">
        <f>IF(ListaMB!D69&lt;&gt;"", ListaMB!I69, "")</f>
        <v/>
      </c>
      <c r="AB62" s="31">
        <f>IF(ListaMB!D69&lt;&gt;"", ListaMB!K69, 0)</f>
        <v>0</v>
      </c>
      <c r="AC62">
        <f t="shared" si="2"/>
        <v>0</v>
      </c>
    </row>
    <row r="63" spans="1:29" hidden="1" x14ac:dyDescent="0.2">
      <c r="D63" t="s">
        <v>439</v>
      </c>
      <c r="E63">
        <v>1</v>
      </c>
      <c r="F63">
        <f>Bilanca!I72</f>
        <v>62</v>
      </c>
      <c r="G63" t="str">
        <f>IF(Bilanca!J72=0,"",Bilanca!J72)</f>
        <v/>
      </c>
      <c r="H63" s="49">
        <f t="shared" si="0"/>
        <v>3623743760</v>
      </c>
      <c r="I63">
        <f t="shared" si="1"/>
        <v>0</v>
      </c>
      <c r="J63" s="90">
        <f>Bilanca!K72</f>
        <v>1943234000</v>
      </c>
      <c r="K63" s="91">
        <f>Bilanca!L72</f>
        <v>1950757000</v>
      </c>
      <c r="L63" s="90"/>
      <c r="M63" s="92"/>
      <c r="N63" s="92"/>
      <c r="O63" s="92"/>
      <c r="P63" s="92"/>
      <c r="Q63" s="92"/>
      <c r="R63" s="92"/>
      <c r="S63" s="92"/>
      <c r="T63" s="92"/>
      <c r="U63" s="92"/>
      <c r="V63" s="92"/>
      <c r="W63" s="92"/>
      <c r="X63" s="91"/>
      <c r="Y63" s="30" t="str">
        <f>IF(ListaMB!D70&lt;&gt;"", TEXT(ListaMB!B70, "00000000"), "")</f>
        <v/>
      </c>
      <c r="Z63" s="30" t="str">
        <f>IF(ListaMB!D70&lt;&gt;"", ListaMB!D70, "")</f>
        <v/>
      </c>
      <c r="AA63" s="30" t="str">
        <f>IF(ListaMB!D70&lt;&gt;"", ListaMB!I70, "")</f>
        <v/>
      </c>
      <c r="AB63" s="31">
        <f>IF(ListaMB!D70&lt;&gt;"", ListaMB!K70, 0)</f>
        <v>0</v>
      </c>
      <c r="AC63">
        <f t="shared" si="2"/>
        <v>0</v>
      </c>
    </row>
    <row r="64" spans="1:29" hidden="1" x14ac:dyDescent="0.2">
      <c r="D64" t="s">
        <v>439</v>
      </c>
      <c r="E64">
        <v>1</v>
      </c>
      <c r="F64">
        <f>Bilanca!I73</f>
        <v>63</v>
      </c>
      <c r="G64" t="str">
        <f>IF(Bilanca!J73=0,"",Bilanca!J73)</f>
        <v/>
      </c>
      <c r="H64" s="49">
        <f t="shared" si="0"/>
        <v>3073141890</v>
      </c>
      <c r="I64">
        <f t="shared" si="1"/>
        <v>0</v>
      </c>
      <c r="J64" s="90">
        <f>Bilanca!K73</f>
        <v>1626001000</v>
      </c>
      <c r="K64" s="91">
        <f>Bilanca!L73</f>
        <v>1626001000</v>
      </c>
      <c r="L64" s="90"/>
      <c r="M64" s="92"/>
      <c r="N64" s="92"/>
      <c r="O64" s="92"/>
      <c r="P64" s="92"/>
      <c r="Q64" s="92"/>
      <c r="R64" s="92"/>
      <c r="S64" s="92"/>
      <c r="T64" s="92"/>
      <c r="U64" s="92"/>
      <c r="V64" s="92"/>
      <c r="W64" s="92"/>
      <c r="X64" s="91"/>
      <c r="Y64" s="30" t="str">
        <f>IF(ListaMB!D71&lt;&gt;"", TEXT(ListaMB!B71, "00000000"), "")</f>
        <v/>
      </c>
      <c r="Z64" s="30" t="str">
        <f>IF(ListaMB!D71&lt;&gt;"", ListaMB!D71, "")</f>
        <v/>
      </c>
      <c r="AA64" s="30" t="str">
        <f>IF(ListaMB!D71&lt;&gt;"", ListaMB!I71, "")</f>
        <v/>
      </c>
      <c r="AB64" s="31">
        <f>IF(ListaMB!D71&lt;&gt;"", ListaMB!K71, 0)</f>
        <v>0</v>
      </c>
      <c r="AC64">
        <f t="shared" si="2"/>
        <v>0</v>
      </c>
    </row>
    <row r="65" spans="4:29" hidden="1" x14ac:dyDescent="0.2">
      <c r="D65" t="s">
        <v>439</v>
      </c>
      <c r="E65">
        <v>1</v>
      </c>
      <c r="F65">
        <f>Bilanca!I74</f>
        <v>64</v>
      </c>
      <c r="G65" t="str">
        <f>IF(Bilanca!J74=0,"",Bilanca!J74)</f>
        <v/>
      </c>
      <c r="H65" s="49">
        <f t="shared" si="0"/>
        <v>50113280</v>
      </c>
      <c r="I65">
        <f t="shared" si="1"/>
        <v>0</v>
      </c>
      <c r="J65" s="90">
        <f>Bilanca!K74</f>
        <v>33164000</v>
      </c>
      <c r="K65" s="91">
        <f>Bilanca!L74</f>
        <v>22569000</v>
      </c>
      <c r="L65" s="90"/>
      <c r="M65" s="92"/>
      <c r="N65" s="92"/>
      <c r="O65" s="92"/>
      <c r="P65" s="92"/>
      <c r="Q65" s="92"/>
      <c r="R65" s="92"/>
      <c r="S65" s="92"/>
      <c r="T65" s="92"/>
      <c r="U65" s="92"/>
      <c r="V65" s="92"/>
      <c r="W65" s="92"/>
      <c r="X65" s="91"/>
      <c r="Y65" s="30" t="str">
        <f>IF(ListaMB!D72&lt;&gt;"", TEXT(ListaMB!B72, "00000000"), "")</f>
        <v/>
      </c>
      <c r="Z65" s="30" t="str">
        <f>IF(ListaMB!D72&lt;&gt;"", ListaMB!D72, "")</f>
        <v/>
      </c>
      <c r="AA65" s="30" t="str">
        <f>IF(ListaMB!D72&lt;&gt;"", ListaMB!I72, "")</f>
        <v/>
      </c>
      <c r="AB65" s="31">
        <f>IF(ListaMB!D72&lt;&gt;"", ListaMB!K72, 0)</f>
        <v>0</v>
      </c>
      <c r="AC65">
        <f t="shared" si="2"/>
        <v>0</v>
      </c>
    </row>
    <row r="66" spans="4:29" hidden="1" x14ac:dyDescent="0.2">
      <c r="D66" t="s">
        <v>439</v>
      </c>
      <c r="E66">
        <v>1</v>
      </c>
      <c r="F66">
        <f>Bilanca!I75</f>
        <v>65</v>
      </c>
      <c r="G66" t="str">
        <f>IF(Bilanca!J75=0,"",Bilanca!J75)</f>
        <v/>
      </c>
      <c r="H66" s="49">
        <f t="shared" ref="H66:H129" si="3">J66/100*F66+2*K66/100*F66</f>
        <v>70704400</v>
      </c>
      <c r="I66">
        <f t="shared" si="1"/>
        <v>0</v>
      </c>
      <c r="J66" s="90">
        <f>Bilanca!K75</f>
        <v>72808000</v>
      </c>
      <c r="K66" s="91">
        <f>Bilanca!L75</f>
        <v>17984000</v>
      </c>
      <c r="L66" s="90"/>
      <c r="M66" s="92"/>
      <c r="N66" s="92"/>
      <c r="O66" s="92"/>
      <c r="P66" s="92"/>
      <c r="Q66" s="92"/>
      <c r="R66" s="92"/>
      <c r="S66" s="92"/>
      <c r="T66" s="92"/>
      <c r="U66" s="92"/>
      <c r="V66" s="92"/>
      <c r="W66" s="92"/>
      <c r="X66" s="91"/>
      <c r="Y66" s="30" t="str">
        <f>IF(ListaMB!D73&lt;&gt;"", TEXT(ListaMB!B73, "00000000"), "")</f>
        <v/>
      </c>
      <c r="Z66" s="30" t="str">
        <f>IF(ListaMB!D73&lt;&gt;"", ListaMB!D73, "")</f>
        <v/>
      </c>
      <c r="AA66" s="30" t="str">
        <f>IF(ListaMB!D73&lt;&gt;"", ListaMB!I73, "")</f>
        <v/>
      </c>
      <c r="AB66" s="31">
        <f>IF(ListaMB!D73&lt;&gt;"", ListaMB!K73, 0)</f>
        <v>0</v>
      </c>
      <c r="AC66">
        <f t="shared" si="2"/>
        <v>0</v>
      </c>
    </row>
    <row r="67" spans="4:29" hidden="1" x14ac:dyDescent="0.2">
      <c r="D67" t="s">
        <v>439</v>
      </c>
      <c r="E67">
        <v>1</v>
      </c>
      <c r="F67">
        <f>Bilanca!I76</f>
        <v>66</v>
      </c>
      <c r="G67" t="str">
        <f>IF(Bilanca!J76=0,"",Bilanca!J76)</f>
        <v/>
      </c>
      <c r="H67" s="49">
        <f t="shared" si="3"/>
        <v>88341660</v>
      </c>
      <c r="I67">
        <f t="shared" ref="I67:I130" si="4">ABS(ROUND(J67,0)-J67)+ABS(ROUND(K67,0)-K67)</f>
        <v>0</v>
      </c>
      <c r="J67" s="90">
        <f>Bilanca!K76</f>
        <v>44717000</v>
      </c>
      <c r="K67" s="91">
        <f>Bilanca!L76</f>
        <v>44567000</v>
      </c>
      <c r="L67" s="90"/>
      <c r="M67" s="92"/>
      <c r="N67" s="92"/>
      <c r="O67" s="92"/>
      <c r="P67" s="92"/>
      <c r="Q67" s="92"/>
      <c r="R67" s="92"/>
      <c r="S67" s="92"/>
      <c r="T67" s="92"/>
      <c r="U67" s="92"/>
      <c r="V67" s="92"/>
      <c r="W67" s="92"/>
      <c r="X67" s="91"/>
      <c r="Y67" s="30" t="str">
        <f>IF(ListaMB!D74&lt;&gt;"", TEXT(ListaMB!B74, "00000000"), "")</f>
        <v/>
      </c>
      <c r="Z67" s="30" t="str">
        <f>IF(ListaMB!D74&lt;&gt;"", ListaMB!D74, "")</f>
        <v/>
      </c>
      <c r="AA67" s="30" t="str">
        <f>IF(ListaMB!D74&lt;&gt;"", ListaMB!I74, "")</f>
        <v/>
      </c>
      <c r="AB67" s="31">
        <f>IF(ListaMB!D74&lt;&gt;"", ListaMB!K74, 0)</f>
        <v>0</v>
      </c>
      <c r="AC67">
        <f t="shared" ref="AC67:AC101" si="5">LEN(Y67)+LEN(Z67)+LEN(AA67)+INT(AB67)</f>
        <v>0</v>
      </c>
    </row>
    <row r="68" spans="4:29" hidden="1" x14ac:dyDescent="0.2">
      <c r="D68" t="s">
        <v>439</v>
      </c>
      <c r="E68">
        <v>1</v>
      </c>
      <c r="F68">
        <f>Bilanca!I77</f>
        <v>67</v>
      </c>
      <c r="G68" t="str">
        <f>IF(Bilanca!J77=0,"",Bilanca!J77)</f>
        <v/>
      </c>
      <c r="H68" s="49">
        <f t="shared" si="3"/>
        <v>39355130</v>
      </c>
      <c r="I68">
        <f t="shared" si="4"/>
        <v>0</v>
      </c>
      <c r="J68" s="90">
        <f>Bilanca!K77</f>
        <v>6711000</v>
      </c>
      <c r="K68" s="91">
        <f>Bilanca!L77</f>
        <v>26014000</v>
      </c>
      <c r="L68" s="90"/>
      <c r="M68" s="92"/>
      <c r="N68" s="92"/>
      <c r="O68" s="92"/>
      <c r="P68" s="92"/>
      <c r="Q68" s="92"/>
      <c r="R68" s="92"/>
      <c r="S68" s="92"/>
      <c r="T68" s="92"/>
      <c r="U68" s="92"/>
      <c r="V68" s="92"/>
      <c r="W68" s="92"/>
      <c r="X68" s="91"/>
      <c r="Y68" s="30" t="str">
        <f>IF(ListaMB!D75&lt;&gt;"", TEXT(ListaMB!B75, "00000000"), "")</f>
        <v/>
      </c>
      <c r="Z68" s="30" t="str">
        <f>IF(ListaMB!D75&lt;&gt;"", ListaMB!D75, "")</f>
        <v/>
      </c>
      <c r="AA68" s="30" t="str">
        <f>IF(ListaMB!D75&lt;&gt;"", ListaMB!I75, "")</f>
        <v/>
      </c>
      <c r="AB68" s="31">
        <f>IF(ListaMB!D75&lt;&gt;"", ListaMB!K75, 0)</f>
        <v>0</v>
      </c>
      <c r="AC68">
        <f t="shared" si="5"/>
        <v>0</v>
      </c>
    </row>
    <row r="69" spans="4:29" hidden="1" x14ac:dyDescent="0.2">
      <c r="D69" t="s">
        <v>439</v>
      </c>
      <c r="E69">
        <v>1</v>
      </c>
      <c r="F69">
        <f>Bilanca!I78</f>
        <v>68</v>
      </c>
      <c r="G69" t="str">
        <f>IF(Bilanca!J78=0,"",Bilanca!J78)</f>
        <v/>
      </c>
      <c r="H69" s="49">
        <f t="shared" si="3"/>
        <v>124720840</v>
      </c>
      <c r="I69">
        <f t="shared" si="4"/>
        <v>0</v>
      </c>
      <c r="J69" s="90">
        <f>Bilanca!K78</f>
        <v>48205000</v>
      </c>
      <c r="K69" s="91">
        <f>Bilanca!L78</f>
        <v>67604000</v>
      </c>
      <c r="L69" s="90"/>
      <c r="M69" s="92"/>
      <c r="N69" s="92"/>
      <c r="O69" s="92"/>
      <c r="P69" s="92"/>
      <c r="Q69" s="92"/>
      <c r="R69" s="92"/>
      <c r="S69" s="92"/>
      <c r="T69" s="92"/>
      <c r="U69" s="92"/>
      <c r="V69" s="92"/>
      <c r="W69" s="92"/>
      <c r="X69" s="91"/>
      <c r="Y69" s="30" t="str">
        <f>IF(ListaMB!D76&lt;&gt;"", TEXT(ListaMB!B76, "00000000"), "")</f>
        <v/>
      </c>
      <c r="Z69" s="30" t="str">
        <f>IF(ListaMB!D76&lt;&gt;"", ListaMB!D76, "")</f>
        <v/>
      </c>
      <c r="AA69" s="30" t="str">
        <f>IF(ListaMB!D76&lt;&gt;"", ListaMB!I76, "")</f>
        <v/>
      </c>
      <c r="AB69" s="31">
        <f>IF(ListaMB!D76&lt;&gt;"", ListaMB!K76, 0)</f>
        <v>0</v>
      </c>
      <c r="AC69">
        <f t="shared" si="5"/>
        <v>0</v>
      </c>
    </row>
    <row r="70" spans="4:29" hidden="1" x14ac:dyDescent="0.2">
      <c r="D70" t="s">
        <v>439</v>
      </c>
      <c r="E70">
        <v>1</v>
      </c>
      <c r="F70">
        <f>Bilanca!I79</f>
        <v>69</v>
      </c>
      <c r="G70" t="str">
        <f>IF(Bilanca!J79=0,"",Bilanca!J79)</f>
        <v/>
      </c>
      <c r="H70" s="49">
        <f t="shared" si="3"/>
        <v>0</v>
      </c>
      <c r="I70">
        <f t="shared" si="4"/>
        <v>0</v>
      </c>
      <c r="J70" s="90">
        <f>Bilanca!K79</f>
        <v>0</v>
      </c>
      <c r="K70" s="91">
        <f>Bilanca!L79</f>
        <v>0</v>
      </c>
      <c r="L70" s="90"/>
      <c r="M70" s="92"/>
      <c r="N70" s="92"/>
      <c r="O70" s="92"/>
      <c r="P70" s="92"/>
      <c r="Q70" s="92"/>
      <c r="R70" s="92"/>
      <c r="S70" s="92"/>
      <c r="T70" s="92"/>
      <c r="U70" s="92"/>
      <c r="V70" s="92"/>
      <c r="W70" s="92"/>
      <c r="X70" s="91"/>
      <c r="Y70" s="30" t="str">
        <f>IF(ListaMB!D77&lt;&gt;"", TEXT(ListaMB!B77, "00000000"), "")</f>
        <v/>
      </c>
      <c r="Z70" s="30" t="str">
        <f>IF(ListaMB!D77&lt;&gt;"", ListaMB!D77, "")</f>
        <v/>
      </c>
      <c r="AA70" s="30" t="str">
        <f>IF(ListaMB!D77&lt;&gt;"", ListaMB!I77, "")</f>
        <v/>
      </c>
      <c r="AB70" s="31">
        <f>IF(ListaMB!D77&lt;&gt;"", ListaMB!K77, 0)</f>
        <v>0</v>
      </c>
      <c r="AC70">
        <f t="shared" si="5"/>
        <v>0</v>
      </c>
    </row>
    <row r="71" spans="4:29" hidden="1" x14ac:dyDescent="0.2">
      <c r="D71" t="s">
        <v>439</v>
      </c>
      <c r="E71">
        <v>1</v>
      </c>
      <c r="F71">
        <f>Bilanca!I80</f>
        <v>70</v>
      </c>
      <c r="G71" t="str">
        <f>IF(Bilanca!J80=0,"",Bilanca!J80)</f>
        <v/>
      </c>
      <c r="H71" s="49">
        <f t="shared" si="3"/>
        <v>69719300</v>
      </c>
      <c r="I71">
        <f t="shared" si="4"/>
        <v>0</v>
      </c>
      <c r="J71" s="90">
        <f>Bilanca!K80</f>
        <v>69585000</v>
      </c>
      <c r="K71" s="91">
        <f>Bilanca!L80</f>
        <v>15007000</v>
      </c>
      <c r="L71" s="90"/>
      <c r="M71" s="92"/>
      <c r="N71" s="92"/>
      <c r="O71" s="92"/>
      <c r="P71" s="92"/>
      <c r="Q71" s="92"/>
      <c r="R71" s="92"/>
      <c r="S71" s="92"/>
      <c r="T71" s="92"/>
      <c r="U71" s="92"/>
      <c r="V71" s="92"/>
      <c r="W71" s="92"/>
      <c r="X71" s="91"/>
      <c r="Y71" s="30" t="str">
        <f>IF(ListaMB!D78&lt;&gt;"", TEXT(ListaMB!B78, "00000000"), "")</f>
        <v/>
      </c>
      <c r="Z71" s="30" t="str">
        <f>IF(ListaMB!D78&lt;&gt;"", ListaMB!D78, "")</f>
        <v/>
      </c>
      <c r="AA71" s="30" t="str">
        <f>IF(ListaMB!D78&lt;&gt;"", ListaMB!I78, "")</f>
        <v/>
      </c>
      <c r="AB71" s="31">
        <f>IF(ListaMB!D78&lt;&gt;"", ListaMB!K78, 0)</f>
        <v>0</v>
      </c>
      <c r="AC71">
        <f t="shared" si="5"/>
        <v>0</v>
      </c>
    </row>
    <row r="72" spans="4:29" hidden="1" x14ac:dyDescent="0.2">
      <c r="D72" t="s">
        <v>439</v>
      </c>
      <c r="E72">
        <v>1</v>
      </c>
      <c r="F72">
        <f>Bilanca!I81</f>
        <v>71</v>
      </c>
      <c r="G72" t="str">
        <f>IF(Bilanca!J81=0,"",Bilanca!J81)</f>
        <v/>
      </c>
      <c r="H72" s="49">
        <f t="shared" si="3"/>
        <v>-9323720</v>
      </c>
      <c r="I72">
        <f t="shared" si="4"/>
        <v>0</v>
      </c>
      <c r="J72" s="90">
        <f>Bilanca!K81</f>
        <v>17566000</v>
      </c>
      <c r="K72" s="91">
        <f>Bilanca!L81</f>
        <v>-15349000</v>
      </c>
      <c r="L72" s="90"/>
      <c r="M72" s="92"/>
      <c r="N72" s="92"/>
      <c r="O72" s="92"/>
      <c r="P72" s="92"/>
      <c r="Q72" s="92"/>
      <c r="R72" s="92"/>
      <c r="S72" s="92"/>
      <c r="T72" s="92"/>
      <c r="U72" s="92"/>
      <c r="V72" s="92"/>
      <c r="W72" s="92"/>
      <c r="X72" s="91"/>
      <c r="Y72" s="30" t="str">
        <f>IF(ListaMB!D79&lt;&gt;"", TEXT(ListaMB!B79, "00000000"), "")</f>
        <v/>
      </c>
      <c r="Z72" s="30" t="str">
        <f>IF(ListaMB!D79&lt;&gt;"", ListaMB!D79, "")</f>
        <v/>
      </c>
      <c r="AA72" s="30" t="str">
        <f>IF(ListaMB!D79&lt;&gt;"", ListaMB!I79, "")</f>
        <v/>
      </c>
      <c r="AB72" s="31">
        <f>IF(ListaMB!D79&lt;&gt;"", ListaMB!K79, 0)</f>
        <v>0</v>
      </c>
      <c r="AC72">
        <f t="shared" si="5"/>
        <v>0</v>
      </c>
    </row>
    <row r="73" spans="4:29" hidden="1" x14ac:dyDescent="0.2">
      <c r="D73" t="s">
        <v>439</v>
      </c>
      <c r="E73">
        <v>1</v>
      </c>
      <c r="F73">
        <f>Bilanca!I82</f>
        <v>72</v>
      </c>
      <c r="G73" t="str">
        <f>IF(Bilanca!J82=0,"",Bilanca!J82)</f>
        <v/>
      </c>
      <c r="H73" s="49">
        <f t="shared" si="3"/>
        <v>500340960</v>
      </c>
      <c r="I73">
        <f t="shared" si="4"/>
        <v>0</v>
      </c>
      <c r="J73" s="90">
        <f>Bilanca!K82</f>
        <v>177864000</v>
      </c>
      <c r="K73" s="91">
        <f>Bilanca!L82</f>
        <v>258527000</v>
      </c>
      <c r="L73" s="90"/>
      <c r="M73" s="92"/>
      <c r="N73" s="92"/>
      <c r="O73" s="92"/>
      <c r="P73" s="92"/>
      <c r="Q73" s="92"/>
      <c r="R73" s="92"/>
      <c r="S73" s="92"/>
      <c r="T73" s="92"/>
      <c r="U73" s="92"/>
      <c r="V73" s="92"/>
      <c r="W73" s="92"/>
      <c r="X73" s="91"/>
      <c r="Y73" s="30" t="str">
        <f>IF(ListaMB!D80&lt;&gt;"", TEXT(ListaMB!B80, "00000000"), "")</f>
        <v/>
      </c>
      <c r="Z73" s="30" t="str">
        <f>IF(ListaMB!D80&lt;&gt;"", ListaMB!D80, "")</f>
        <v/>
      </c>
      <c r="AA73" s="30" t="str">
        <f>IF(ListaMB!D80&lt;&gt;"", ListaMB!I80, "")</f>
        <v/>
      </c>
      <c r="AB73" s="31">
        <f>IF(ListaMB!D80&lt;&gt;"", ListaMB!K80, 0)</f>
        <v>0</v>
      </c>
      <c r="AC73">
        <f t="shared" si="5"/>
        <v>0</v>
      </c>
    </row>
    <row r="74" spans="4:29" hidden="1" x14ac:dyDescent="0.2">
      <c r="D74" t="s">
        <v>439</v>
      </c>
      <c r="E74">
        <v>1</v>
      </c>
      <c r="F74">
        <f>Bilanca!I83</f>
        <v>73</v>
      </c>
      <c r="G74" t="str">
        <f>IF(Bilanca!J83=0,"",Bilanca!J83)</f>
        <v/>
      </c>
      <c r="H74" s="49">
        <f t="shared" si="3"/>
        <v>0</v>
      </c>
      <c r="I74">
        <f t="shared" si="4"/>
        <v>0</v>
      </c>
      <c r="J74" s="90">
        <f>Bilanca!K83</f>
        <v>0</v>
      </c>
      <c r="K74" s="91">
        <f>Bilanca!L83</f>
        <v>0</v>
      </c>
      <c r="L74" s="90"/>
      <c r="M74" s="92"/>
      <c r="N74" s="92"/>
      <c r="O74" s="92"/>
      <c r="P74" s="92"/>
      <c r="Q74" s="92"/>
      <c r="R74" s="92"/>
      <c r="S74" s="92"/>
      <c r="T74" s="92"/>
      <c r="U74" s="92"/>
      <c r="V74" s="92"/>
      <c r="W74" s="92"/>
      <c r="X74" s="91"/>
      <c r="Y74" s="30" t="str">
        <f>IF(ListaMB!D81&lt;&gt;"", TEXT(ListaMB!B81, "00000000"), "")</f>
        <v/>
      </c>
      <c r="Z74" s="30" t="str">
        <f>IF(ListaMB!D81&lt;&gt;"", ListaMB!D81, "")</f>
        <v/>
      </c>
      <c r="AA74" s="30" t="str">
        <f>IF(ListaMB!D81&lt;&gt;"", ListaMB!I81, "")</f>
        <v/>
      </c>
      <c r="AB74" s="31">
        <f>IF(ListaMB!D81&lt;&gt;"", ListaMB!K81, 0)</f>
        <v>0</v>
      </c>
      <c r="AC74">
        <f t="shared" si="5"/>
        <v>0</v>
      </c>
    </row>
    <row r="75" spans="4:29" hidden="1" x14ac:dyDescent="0.2">
      <c r="D75" t="s">
        <v>439</v>
      </c>
      <c r="E75">
        <v>1</v>
      </c>
      <c r="F75">
        <f>Bilanca!I84</f>
        <v>74</v>
      </c>
      <c r="G75" t="str">
        <f>IF(Bilanca!J84=0,"",Bilanca!J84)</f>
        <v/>
      </c>
      <c r="H75" s="49">
        <f t="shared" si="3"/>
        <v>21222460</v>
      </c>
      <c r="I75">
        <f t="shared" si="4"/>
        <v>0</v>
      </c>
      <c r="J75" s="90">
        <f>Bilanca!K84</f>
        <v>15831000</v>
      </c>
      <c r="K75" s="91">
        <f>Bilanca!L84</f>
        <v>6424000</v>
      </c>
      <c r="L75" s="90"/>
      <c r="M75" s="92"/>
      <c r="N75" s="92"/>
      <c r="O75" s="92"/>
      <c r="P75" s="92"/>
      <c r="Q75" s="92"/>
      <c r="R75" s="92"/>
      <c r="S75" s="92"/>
      <c r="T75" s="92"/>
      <c r="U75" s="92"/>
      <c r="V75" s="92"/>
      <c r="W75" s="92"/>
      <c r="X75" s="91"/>
      <c r="Y75" s="30" t="str">
        <f>IF(ListaMB!D82&lt;&gt;"", TEXT(ListaMB!B82, "00000000"), "")</f>
        <v/>
      </c>
      <c r="Z75" s="30" t="str">
        <f>IF(ListaMB!D82&lt;&gt;"", ListaMB!D82, "")</f>
        <v/>
      </c>
      <c r="AA75" s="30" t="str">
        <f>IF(ListaMB!D82&lt;&gt;"", ListaMB!I82, "")</f>
        <v/>
      </c>
      <c r="AB75" s="31">
        <f>IF(ListaMB!D82&lt;&gt;"", ListaMB!K82, 0)</f>
        <v>0</v>
      </c>
      <c r="AC75">
        <f t="shared" si="5"/>
        <v>0</v>
      </c>
    </row>
    <row r="76" spans="4:29" hidden="1" x14ac:dyDescent="0.2">
      <c r="D76" t="s">
        <v>439</v>
      </c>
      <c r="E76">
        <v>1</v>
      </c>
      <c r="F76">
        <f>Bilanca!I85</f>
        <v>75</v>
      </c>
      <c r="G76" t="str">
        <f>IF(Bilanca!J85=0,"",Bilanca!J85)</f>
        <v/>
      </c>
      <c r="H76" s="49">
        <f t="shared" si="3"/>
        <v>0</v>
      </c>
      <c r="I76">
        <f t="shared" si="4"/>
        <v>0</v>
      </c>
      <c r="J76" s="90">
        <f>Bilanca!K85</f>
        <v>0</v>
      </c>
      <c r="K76" s="91">
        <f>Bilanca!L85</f>
        <v>0</v>
      </c>
      <c r="L76" s="90"/>
      <c r="M76" s="92"/>
      <c r="N76" s="92"/>
      <c r="O76" s="92"/>
      <c r="P76" s="92"/>
      <c r="Q76" s="92"/>
      <c r="R76" s="92"/>
      <c r="S76" s="92"/>
      <c r="T76" s="92"/>
      <c r="U76" s="92"/>
      <c r="V76" s="92"/>
      <c r="W76" s="92"/>
      <c r="X76" s="91"/>
      <c r="Y76" s="30" t="str">
        <f>IF(ListaMB!D83&lt;&gt;"", TEXT(ListaMB!B83, "00000000"), "")</f>
        <v/>
      </c>
      <c r="Z76" s="30" t="str">
        <f>IF(ListaMB!D83&lt;&gt;"", ListaMB!D83, "")</f>
        <v/>
      </c>
      <c r="AA76" s="30" t="str">
        <f>IF(ListaMB!D83&lt;&gt;"", ListaMB!I83, "")</f>
        <v/>
      </c>
      <c r="AB76" s="31">
        <f>IF(ListaMB!D83&lt;&gt;"", ListaMB!K83, 0)</f>
        <v>0</v>
      </c>
      <c r="AC76">
        <f t="shared" si="5"/>
        <v>0</v>
      </c>
    </row>
    <row r="77" spans="4:29" hidden="1" x14ac:dyDescent="0.2">
      <c r="D77" t="s">
        <v>439</v>
      </c>
      <c r="E77">
        <v>1</v>
      </c>
      <c r="F77">
        <f>Bilanca!I86</f>
        <v>76</v>
      </c>
      <c r="G77" t="str">
        <f>IF(Bilanca!J86=0,"",Bilanca!J86)</f>
        <v/>
      </c>
      <c r="H77" s="49">
        <f t="shared" si="3"/>
        <v>52593520</v>
      </c>
      <c r="I77">
        <f t="shared" si="4"/>
        <v>0</v>
      </c>
      <c r="J77" s="90">
        <f>Bilanca!K86</f>
        <v>0</v>
      </c>
      <c r="K77" s="91">
        <f>Bilanca!L86</f>
        <v>34601000</v>
      </c>
      <c r="L77" s="90"/>
      <c r="M77" s="92"/>
      <c r="N77" s="92"/>
      <c r="O77" s="92"/>
      <c r="P77" s="92"/>
      <c r="Q77" s="92"/>
      <c r="R77" s="92"/>
      <c r="S77" s="92"/>
      <c r="T77" s="92"/>
      <c r="U77" s="92"/>
      <c r="V77" s="92"/>
      <c r="W77" s="92"/>
      <c r="X77" s="91"/>
      <c r="Y77" s="30" t="str">
        <f>IF(ListaMB!D84&lt;&gt;"", TEXT(ListaMB!B84, "00000000"), "")</f>
        <v/>
      </c>
      <c r="Z77" s="30" t="str">
        <f>IF(ListaMB!D84&lt;&gt;"", ListaMB!D84, "")</f>
        <v/>
      </c>
      <c r="AA77" s="30" t="str">
        <f>IF(ListaMB!D84&lt;&gt;"", ListaMB!I84, "")</f>
        <v/>
      </c>
      <c r="AB77" s="31">
        <f>IF(ListaMB!D84&lt;&gt;"", ListaMB!K84, 0)</f>
        <v>0</v>
      </c>
      <c r="AC77">
        <f t="shared" si="5"/>
        <v>0</v>
      </c>
    </row>
    <row r="78" spans="4:29" hidden="1" x14ac:dyDescent="0.2">
      <c r="D78" t="s">
        <v>439</v>
      </c>
      <c r="E78">
        <v>1</v>
      </c>
      <c r="F78">
        <f>Bilanca!I87</f>
        <v>77</v>
      </c>
      <c r="G78" t="str">
        <f>IF(Bilanca!J87=0,"",Bilanca!J87)</f>
        <v/>
      </c>
      <c r="H78" s="49">
        <f t="shared" si="3"/>
        <v>73543470</v>
      </c>
      <c r="I78">
        <f t="shared" si="4"/>
        <v>0</v>
      </c>
      <c r="J78" s="90">
        <f>Bilanca!K87</f>
        <v>25365000</v>
      </c>
      <c r="K78" s="91">
        <f>Bilanca!L87</f>
        <v>35073000</v>
      </c>
      <c r="L78" s="90"/>
      <c r="M78" s="92"/>
      <c r="N78" s="92"/>
      <c r="O78" s="92"/>
      <c r="P78" s="92"/>
      <c r="Q78" s="92"/>
      <c r="R78" s="92"/>
      <c r="S78" s="92"/>
      <c r="T78" s="92"/>
      <c r="U78" s="92"/>
      <c r="V78" s="92"/>
      <c r="W78" s="92"/>
      <c r="X78" s="91"/>
      <c r="Y78" s="30" t="str">
        <f>IF(ListaMB!D85&lt;&gt;"", TEXT(ListaMB!B85, "00000000"), "")</f>
        <v/>
      </c>
      <c r="Z78" s="30" t="str">
        <f>IF(ListaMB!D85&lt;&gt;"", ListaMB!D85, "")</f>
        <v/>
      </c>
      <c r="AA78" s="30" t="str">
        <f>IF(ListaMB!D85&lt;&gt;"", ListaMB!I85, "")</f>
        <v/>
      </c>
      <c r="AB78" s="31">
        <f>IF(ListaMB!D85&lt;&gt;"", ListaMB!K85, 0)</f>
        <v>0</v>
      </c>
      <c r="AC78">
        <f t="shared" si="5"/>
        <v>0</v>
      </c>
    </row>
    <row r="79" spans="4:29" hidden="1" x14ac:dyDescent="0.2">
      <c r="D79" t="s">
        <v>439</v>
      </c>
      <c r="E79">
        <v>1</v>
      </c>
      <c r="F79">
        <f>Bilanca!I88</f>
        <v>78</v>
      </c>
      <c r="G79" t="str">
        <f>IF(Bilanca!J88=0,"",Bilanca!J88)</f>
        <v/>
      </c>
      <c r="H79" s="49">
        <f t="shared" si="3"/>
        <v>51352080</v>
      </c>
      <c r="I79">
        <f t="shared" si="4"/>
        <v>0</v>
      </c>
      <c r="J79" s="90">
        <f>Bilanca!K88</f>
        <v>21002000</v>
      </c>
      <c r="K79" s="91">
        <f>Bilanca!L88</f>
        <v>22417000</v>
      </c>
      <c r="L79" s="90"/>
      <c r="M79" s="92"/>
      <c r="N79" s="92"/>
      <c r="O79" s="92"/>
      <c r="P79" s="92"/>
      <c r="Q79" s="92"/>
      <c r="R79" s="92"/>
      <c r="S79" s="92"/>
      <c r="T79" s="92"/>
      <c r="U79" s="92"/>
      <c r="V79" s="92"/>
      <c r="W79" s="92"/>
      <c r="X79" s="91"/>
      <c r="Y79" s="30" t="str">
        <f>IF(ListaMB!D86&lt;&gt;"", TEXT(ListaMB!B86, "00000000"), "")</f>
        <v/>
      </c>
      <c r="Z79" s="30" t="str">
        <f>IF(ListaMB!D86&lt;&gt;"", ListaMB!D86, "")</f>
        <v/>
      </c>
      <c r="AA79" s="30" t="str">
        <f>IF(ListaMB!D86&lt;&gt;"", ListaMB!I86, "")</f>
        <v/>
      </c>
      <c r="AB79" s="31">
        <f>IF(ListaMB!D86&lt;&gt;"", ListaMB!K86, 0)</f>
        <v>0</v>
      </c>
      <c r="AC79">
        <f t="shared" si="5"/>
        <v>0</v>
      </c>
    </row>
    <row r="80" spans="4:29" hidden="1" x14ac:dyDescent="0.2">
      <c r="D80" t="s">
        <v>439</v>
      </c>
      <c r="E80">
        <v>1</v>
      </c>
      <c r="F80">
        <f>Bilanca!I89</f>
        <v>79</v>
      </c>
      <c r="G80" t="str">
        <f>IF(Bilanca!J89=0,"",Bilanca!J89)</f>
        <v/>
      </c>
      <c r="H80" s="49">
        <f t="shared" si="3"/>
        <v>12459880</v>
      </c>
      <c r="I80">
        <f t="shared" si="4"/>
        <v>0</v>
      </c>
      <c r="J80" s="90">
        <f>Bilanca!K89</f>
        <v>0</v>
      </c>
      <c r="K80" s="91">
        <f>Bilanca!L89</f>
        <v>7886000</v>
      </c>
      <c r="L80" s="90"/>
      <c r="M80" s="92"/>
      <c r="N80" s="92"/>
      <c r="O80" s="92"/>
      <c r="P80" s="92"/>
      <c r="Q80" s="92"/>
      <c r="R80" s="92"/>
      <c r="S80" s="92"/>
      <c r="T80" s="92"/>
      <c r="U80" s="92"/>
      <c r="V80" s="92"/>
      <c r="W80" s="92"/>
      <c r="X80" s="91"/>
      <c r="Y80" s="30" t="str">
        <f>IF(ListaMB!D87&lt;&gt;"", TEXT(ListaMB!B87, "00000000"), "")</f>
        <v/>
      </c>
      <c r="Z80" s="30" t="str">
        <f>IF(ListaMB!D87&lt;&gt;"", ListaMB!D87, "")</f>
        <v/>
      </c>
      <c r="AA80" s="30" t="str">
        <f>IF(ListaMB!D87&lt;&gt;"", ListaMB!I87, "")</f>
        <v/>
      </c>
      <c r="AB80" s="31">
        <f>IF(ListaMB!D87&lt;&gt;"", ListaMB!K87, 0)</f>
        <v>0</v>
      </c>
      <c r="AC80">
        <f t="shared" si="5"/>
        <v>0</v>
      </c>
    </row>
    <row r="81" spans="4:29" hidden="1" x14ac:dyDescent="0.2">
      <c r="D81" t="s">
        <v>439</v>
      </c>
      <c r="E81">
        <v>1</v>
      </c>
      <c r="F81">
        <f>Bilanca!I90</f>
        <v>80</v>
      </c>
      <c r="G81" t="str">
        <f>IF(Bilanca!J90=0,"",Bilanca!J90)</f>
        <v/>
      </c>
      <c r="H81" s="49">
        <f t="shared" si="3"/>
        <v>11122400</v>
      </c>
      <c r="I81">
        <f t="shared" si="4"/>
        <v>0</v>
      </c>
      <c r="J81" s="90">
        <f>Bilanca!K90</f>
        <v>4363000</v>
      </c>
      <c r="K81" s="91">
        <f>Bilanca!L90</f>
        <v>4770000</v>
      </c>
      <c r="L81" s="90"/>
      <c r="M81" s="92"/>
      <c r="N81" s="92"/>
      <c r="O81" s="92"/>
      <c r="P81" s="92"/>
      <c r="Q81" s="92"/>
      <c r="R81" s="92"/>
      <c r="S81" s="92"/>
      <c r="T81" s="92"/>
      <c r="U81" s="92"/>
      <c r="V81" s="92"/>
      <c r="W81" s="92"/>
      <c r="X81" s="91"/>
      <c r="Y81" s="30" t="str">
        <f>IF(ListaMB!D88&lt;&gt;"", TEXT(ListaMB!B88, "00000000"), "")</f>
        <v/>
      </c>
      <c r="Z81" s="30" t="str">
        <f>IF(ListaMB!D88&lt;&gt;"", ListaMB!D88, "")</f>
        <v/>
      </c>
      <c r="AA81" s="30" t="str">
        <f>IF(ListaMB!D88&lt;&gt;"", ListaMB!I88, "")</f>
        <v/>
      </c>
      <c r="AB81" s="31">
        <f>IF(ListaMB!D88&lt;&gt;"", ListaMB!K88, 0)</f>
        <v>0</v>
      </c>
      <c r="AC81">
        <f t="shared" si="5"/>
        <v>0</v>
      </c>
    </row>
    <row r="82" spans="4:29" hidden="1" x14ac:dyDescent="0.2">
      <c r="D82" t="s">
        <v>439</v>
      </c>
      <c r="E82">
        <v>1</v>
      </c>
      <c r="F82">
        <f>Bilanca!I91</f>
        <v>81</v>
      </c>
      <c r="G82" t="str">
        <f>IF(Bilanca!J91=0,"",Bilanca!J91)</f>
        <v/>
      </c>
      <c r="H82" s="49">
        <f t="shared" si="3"/>
        <v>1856555640</v>
      </c>
      <c r="I82">
        <f t="shared" si="4"/>
        <v>0</v>
      </c>
      <c r="J82" s="90">
        <f>Bilanca!K91</f>
        <v>455428000</v>
      </c>
      <c r="K82" s="91">
        <f>Bilanca!L91</f>
        <v>918308000</v>
      </c>
      <c r="L82" s="90"/>
      <c r="M82" s="92"/>
      <c r="N82" s="92"/>
      <c r="O82" s="92"/>
      <c r="P82" s="92"/>
      <c r="Q82" s="92"/>
      <c r="R82" s="92"/>
      <c r="S82" s="92"/>
      <c r="T82" s="92"/>
      <c r="U82" s="92"/>
      <c r="V82" s="92"/>
      <c r="W82" s="92"/>
      <c r="X82" s="91"/>
      <c r="Y82" s="30" t="str">
        <f>IF(ListaMB!D89&lt;&gt;"", TEXT(ListaMB!B89, "00000000"), "")</f>
        <v/>
      </c>
      <c r="Z82" s="30" t="str">
        <f>IF(ListaMB!D89&lt;&gt;"", ListaMB!D89, "")</f>
        <v/>
      </c>
      <c r="AA82" s="30" t="str">
        <f>IF(ListaMB!D89&lt;&gt;"", ListaMB!I89, "")</f>
        <v/>
      </c>
      <c r="AB82" s="31">
        <f>IF(ListaMB!D89&lt;&gt;"", ListaMB!K89, 0)</f>
        <v>0</v>
      </c>
      <c r="AC82">
        <f t="shared" si="5"/>
        <v>0</v>
      </c>
    </row>
    <row r="83" spans="4:29" hidden="1" x14ac:dyDescent="0.2">
      <c r="D83" t="s">
        <v>439</v>
      </c>
      <c r="E83">
        <v>1</v>
      </c>
      <c r="F83">
        <f>Bilanca!I92</f>
        <v>82</v>
      </c>
      <c r="G83" t="str">
        <f>IF(Bilanca!J92=0,"",Bilanca!J92)</f>
        <v/>
      </c>
      <c r="H83" s="49">
        <f t="shared" si="3"/>
        <v>0</v>
      </c>
      <c r="I83">
        <f t="shared" si="4"/>
        <v>0</v>
      </c>
      <c r="J83" s="90">
        <f>Bilanca!K92</f>
        <v>0</v>
      </c>
      <c r="K83" s="91">
        <f>Bilanca!L92</f>
        <v>0</v>
      </c>
      <c r="L83" s="90"/>
      <c r="M83" s="92"/>
      <c r="N83" s="92"/>
      <c r="O83" s="92"/>
      <c r="P83" s="92"/>
      <c r="Q83" s="92"/>
      <c r="R83" s="92"/>
      <c r="S83" s="92"/>
      <c r="T83" s="92"/>
      <c r="U83" s="92"/>
      <c r="V83" s="92"/>
      <c r="W83" s="92"/>
      <c r="X83" s="91"/>
      <c r="Y83" s="30" t="str">
        <f>IF(ListaMB!D90&lt;&gt;"", TEXT(ListaMB!B90, "00000000"), "")</f>
        <v/>
      </c>
      <c r="Z83" s="30" t="str">
        <f>IF(ListaMB!D90&lt;&gt;"", ListaMB!D90, "")</f>
        <v/>
      </c>
      <c r="AA83" s="30" t="str">
        <f>IF(ListaMB!D90&lt;&gt;"", ListaMB!I90, "")</f>
        <v/>
      </c>
      <c r="AB83" s="31">
        <f>IF(ListaMB!D90&lt;&gt;"", ListaMB!K90, 0)</f>
        <v>0</v>
      </c>
      <c r="AC83">
        <f t="shared" si="5"/>
        <v>0</v>
      </c>
    </row>
    <row r="84" spans="4:29" hidden="1" x14ac:dyDescent="0.2">
      <c r="D84" t="s">
        <v>439</v>
      </c>
      <c r="E84">
        <v>1</v>
      </c>
      <c r="F84">
        <f>Bilanca!I93</f>
        <v>83</v>
      </c>
      <c r="G84" t="str">
        <f>IF(Bilanca!J93=0,"",Bilanca!J93)</f>
        <v/>
      </c>
      <c r="H84" s="49">
        <f t="shared" si="3"/>
        <v>0</v>
      </c>
      <c r="I84">
        <f t="shared" si="4"/>
        <v>0</v>
      </c>
      <c r="J84" s="90">
        <f>Bilanca!K93</f>
        <v>0</v>
      </c>
      <c r="K84" s="91">
        <f>Bilanca!L93</f>
        <v>0</v>
      </c>
      <c r="L84" s="90"/>
      <c r="M84" s="92"/>
      <c r="N84" s="92"/>
      <c r="O84" s="92"/>
      <c r="P84" s="92"/>
      <c r="Q84" s="92"/>
      <c r="R84" s="92"/>
      <c r="S84" s="92"/>
      <c r="T84" s="92"/>
      <c r="U84" s="92"/>
      <c r="V84" s="92"/>
      <c r="W84" s="92"/>
      <c r="X84" s="91"/>
      <c r="Y84" s="30" t="str">
        <f>IF(ListaMB!D91&lt;&gt;"", TEXT(ListaMB!B91, "00000000"), "")</f>
        <v/>
      </c>
      <c r="Z84" s="30" t="str">
        <f>IF(ListaMB!D91&lt;&gt;"", ListaMB!D91, "")</f>
        <v/>
      </c>
      <c r="AA84" s="30" t="str">
        <f>IF(ListaMB!D91&lt;&gt;"", ListaMB!I91, "")</f>
        <v/>
      </c>
      <c r="AB84" s="31">
        <f>IF(ListaMB!D91&lt;&gt;"", ListaMB!K91, 0)</f>
        <v>0</v>
      </c>
      <c r="AC84">
        <f t="shared" si="5"/>
        <v>0</v>
      </c>
    </row>
    <row r="85" spans="4:29" hidden="1" x14ac:dyDescent="0.2">
      <c r="D85" t="s">
        <v>439</v>
      </c>
      <c r="E85">
        <v>1</v>
      </c>
      <c r="F85">
        <f>Bilanca!I94</f>
        <v>84</v>
      </c>
      <c r="G85" t="str">
        <f>IF(Bilanca!J94=0,"",Bilanca!J94)</f>
        <v/>
      </c>
      <c r="H85" s="49">
        <f t="shared" si="3"/>
        <v>1092051240</v>
      </c>
      <c r="I85">
        <f t="shared" si="4"/>
        <v>0</v>
      </c>
      <c r="J85" s="90">
        <f>Bilanca!K94</f>
        <v>101267000</v>
      </c>
      <c r="K85" s="91">
        <f>Bilanca!L94</f>
        <v>599397000</v>
      </c>
      <c r="L85" s="90"/>
      <c r="M85" s="92"/>
      <c r="N85" s="92"/>
      <c r="O85" s="92"/>
      <c r="P85" s="92"/>
      <c r="Q85" s="92"/>
      <c r="R85" s="92"/>
      <c r="S85" s="92"/>
      <c r="T85" s="92"/>
      <c r="U85" s="92"/>
      <c r="V85" s="92"/>
      <c r="W85" s="92"/>
      <c r="X85" s="91"/>
      <c r="Y85" s="30" t="str">
        <f>IF(ListaMB!D92&lt;&gt;"", TEXT(ListaMB!B92, "00000000"), "")</f>
        <v/>
      </c>
      <c r="Z85" s="30" t="str">
        <f>IF(ListaMB!D92&lt;&gt;"", ListaMB!D92, "")</f>
        <v/>
      </c>
      <c r="AA85" s="30" t="str">
        <f>IF(ListaMB!D92&lt;&gt;"", ListaMB!I92, "")</f>
        <v/>
      </c>
      <c r="AB85" s="31">
        <f>IF(ListaMB!D92&lt;&gt;"", ListaMB!K92, 0)</f>
        <v>0</v>
      </c>
      <c r="AC85">
        <f t="shared" si="5"/>
        <v>0</v>
      </c>
    </row>
    <row r="86" spans="4:29" hidden="1" x14ac:dyDescent="0.2">
      <c r="D86" t="s">
        <v>439</v>
      </c>
      <c r="E86">
        <v>1</v>
      </c>
      <c r="F86">
        <f>Bilanca!I95</f>
        <v>85</v>
      </c>
      <c r="G86" t="str">
        <f>IF(Bilanca!J95=0,"",Bilanca!J95)</f>
        <v/>
      </c>
      <c r="H86" s="49">
        <f t="shared" si="3"/>
        <v>0</v>
      </c>
      <c r="I86">
        <f t="shared" si="4"/>
        <v>0</v>
      </c>
      <c r="J86" s="90">
        <f>Bilanca!K95</f>
        <v>0</v>
      </c>
      <c r="K86" s="91">
        <f>Bilanca!L95</f>
        <v>0</v>
      </c>
      <c r="L86" s="90"/>
      <c r="M86" s="92"/>
      <c r="N86" s="92"/>
      <c r="O86" s="92"/>
      <c r="P86" s="92"/>
      <c r="Q86" s="92"/>
      <c r="R86" s="92"/>
      <c r="S86" s="92"/>
      <c r="T86" s="92"/>
      <c r="U86" s="92"/>
      <c r="V86" s="92"/>
      <c r="W86" s="92"/>
      <c r="X86" s="91"/>
      <c r="Y86" s="30" t="str">
        <f>IF(ListaMB!D93&lt;&gt;"", TEXT(ListaMB!B93, "00000000"), "")</f>
        <v/>
      </c>
      <c r="Z86" s="30" t="str">
        <f>IF(ListaMB!D93&lt;&gt;"", ListaMB!D93, "")</f>
        <v/>
      </c>
      <c r="AA86" s="30" t="str">
        <f>IF(ListaMB!D93&lt;&gt;"", ListaMB!I93, "")</f>
        <v/>
      </c>
      <c r="AB86" s="31">
        <f>IF(ListaMB!D93&lt;&gt;"", ListaMB!K93, 0)</f>
        <v>0</v>
      </c>
      <c r="AC86">
        <f t="shared" si="5"/>
        <v>0</v>
      </c>
    </row>
    <row r="87" spans="4:29" hidden="1" x14ac:dyDescent="0.2">
      <c r="D87" t="s">
        <v>439</v>
      </c>
      <c r="E87">
        <v>1</v>
      </c>
      <c r="F87">
        <f>Bilanca!I96</f>
        <v>86</v>
      </c>
      <c r="G87" t="str">
        <f>IF(Bilanca!J96=0,"",Bilanca!J96)</f>
        <v/>
      </c>
      <c r="H87" s="49">
        <f t="shared" si="3"/>
        <v>0</v>
      </c>
      <c r="I87">
        <f t="shared" si="4"/>
        <v>0</v>
      </c>
      <c r="J87" s="90">
        <f>Bilanca!K96</f>
        <v>0</v>
      </c>
      <c r="K87" s="91">
        <f>Bilanca!L96</f>
        <v>0</v>
      </c>
      <c r="L87" s="90"/>
      <c r="M87" s="92"/>
      <c r="N87" s="92"/>
      <c r="O87" s="92"/>
      <c r="P87" s="92"/>
      <c r="Q87" s="92"/>
      <c r="R87" s="92"/>
      <c r="S87" s="92"/>
      <c r="T87" s="92"/>
      <c r="U87" s="92"/>
      <c r="V87" s="92"/>
      <c r="W87" s="92"/>
      <c r="X87" s="91"/>
      <c r="Y87" s="30" t="str">
        <f>IF(ListaMB!D94&lt;&gt;"", TEXT(ListaMB!B94, "00000000"), "")</f>
        <v/>
      </c>
      <c r="Z87" s="30" t="str">
        <f>IF(ListaMB!D94&lt;&gt;"", ListaMB!D94, "")</f>
        <v/>
      </c>
      <c r="AA87" s="30" t="str">
        <f>IF(ListaMB!D94&lt;&gt;"", ListaMB!I94, "")</f>
        <v/>
      </c>
      <c r="AB87" s="31">
        <f>IF(ListaMB!D94&lt;&gt;"", ListaMB!K94, 0)</f>
        <v>0</v>
      </c>
      <c r="AC87">
        <f t="shared" si="5"/>
        <v>0</v>
      </c>
    </row>
    <row r="88" spans="4:29" hidden="1" x14ac:dyDescent="0.2">
      <c r="D88" t="s">
        <v>439</v>
      </c>
      <c r="E88">
        <v>1</v>
      </c>
      <c r="F88">
        <f>Bilanca!I97</f>
        <v>87</v>
      </c>
      <c r="G88" t="str">
        <f>IF(Bilanca!J97=0,"",Bilanca!J97)</f>
        <v/>
      </c>
      <c r="H88" s="49">
        <f t="shared" si="3"/>
        <v>863025210</v>
      </c>
      <c r="I88">
        <f t="shared" si="4"/>
        <v>0</v>
      </c>
      <c r="J88" s="90">
        <f>Bilanca!K97</f>
        <v>354161000</v>
      </c>
      <c r="K88" s="91">
        <f>Bilanca!L97</f>
        <v>318911000</v>
      </c>
      <c r="L88" s="90"/>
      <c r="M88" s="92"/>
      <c r="N88" s="92"/>
      <c r="O88" s="92"/>
      <c r="P88" s="92"/>
      <c r="Q88" s="92"/>
      <c r="R88" s="92"/>
      <c r="S88" s="92"/>
      <c r="T88" s="92"/>
      <c r="U88" s="92"/>
      <c r="V88" s="92"/>
      <c r="W88" s="92"/>
      <c r="X88" s="91"/>
      <c r="Y88" s="30" t="str">
        <f>IF(ListaMB!D95&lt;&gt;"", TEXT(ListaMB!B95, "00000000"), "")</f>
        <v/>
      </c>
      <c r="Z88" s="30" t="str">
        <f>IF(ListaMB!D95&lt;&gt;"", ListaMB!D95, "")</f>
        <v/>
      </c>
      <c r="AA88" s="30" t="str">
        <f>IF(ListaMB!D95&lt;&gt;"", ListaMB!I95, "")</f>
        <v/>
      </c>
      <c r="AB88" s="31">
        <f>IF(ListaMB!D95&lt;&gt;"", ListaMB!K95, 0)</f>
        <v>0</v>
      </c>
      <c r="AC88">
        <f t="shared" si="5"/>
        <v>0</v>
      </c>
    </row>
    <row r="89" spans="4:29" hidden="1" x14ac:dyDescent="0.2">
      <c r="D89" t="s">
        <v>439</v>
      </c>
      <c r="E89">
        <v>1</v>
      </c>
      <c r="F89">
        <f>Bilanca!I98</f>
        <v>88</v>
      </c>
      <c r="G89" t="str">
        <f>IF(Bilanca!J98=0,"",Bilanca!J98)</f>
        <v/>
      </c>
      <c r="H89" s="49">
        <f t="shared" si="3"/>
        <v>0</v>
      </c>
      <c r="I89">
        <f t="shared" si="4"/>
        <v>0</v>
      </c>
      <c r="J89" s="90">
        <f>Bilanca!K98</f>
        <v>0</v>
      </c>
      <c r="K89" s="91">
        <f>Bilanca!L98</f>
        <v>0</v>
      </c>
      <c r="L89" s="90"/>
      <c r="M89" s="92"/>
      <c r="N89" s="92"/>
      <c r="O89" s="92"/>
      <c r="P89" s="92"/>
      <c r="Q89" s="92"/>
      <c r="R89" s="92"/>
      <c r="S89" s="92"/>
      <c r="T89" s="92"/>
      <c r="U89" s="92"/>
      <c r="V89" s="92"/>
      <c r="W89" s="92"/>
      <c r="X89" s="91"/>
      <c r="Y89" s="30" t="str">
        <f>IF(ListaMB!D96&lt;&gt;"", TEXT(ListaMB!B96, "00000000"), "")</f>
        <v/>
      </c>
      <c r="Z89" s="30" t="str">
        <f>IF(ListaMB!D96&lt;&gt;"", ListaMB!D96, "")</f>
        <v/>
      </c>
      <c r="AA89" s="30" t="str">
        <f>IF(ListaMB!D96&lt;&gt;"", ListaMB!I96, "")</f>
        <v/>
      </c>
      <c r="AB89" s="31">
        <f>IF(ListaMB!D96&lt;&gt;"", ListaMB!K96, 0)</f>
        <v>0</v>
      </c>
      <c r="AC89">
        <f t="shared" si="5"/>
        <v>0</v>
      </c>
    </row>
    <row r="90" spans="4:29" hidden="1" x14ac:dyDescent="0.2">
      <c r="D90" t="s">
        <v>439</v>
      </c>
      <c r="E90">
        <v>1</v>
      </c>
      <c r="F90">
        <f>Bilanca!I99</f>
        <v>89</v>
      </c>
      <c r="G90" t="str">
        <f>IF(Bilanca!J99=0,"",Bilanca!J99)</f>
        <v/>
      </c>
      <c r="H90" s="49">
        <f t="shared" si="3"/>
        <v>0</v>
      </c>
      <c r="I90">
        <f t="shared" si="4"/>
        <v>0</v>
      </c>
      <c r="J90" s="90">
        <f>Bilanca!K99</f>
        <v>0</v>
      </c>
      <c r="K90" s="91">
        <f>Bilanca!L99</f>
        <v>0</v>
      </c>
      <c r="L90" s="90"/>
      <c r="M90" s="92"/>
      <c r="N90" s="92"/>
      <c r="O90" s="92"/>
      <c r="P90" s="92"/>
      <c r="Q90" s="92"/>
      <c r="R90" s="92"/>
      <c r="S90" s="92"/>
      <c r="T90" s="92"/>
      <c r="U90" s="92"/>
      <c r="V90" s="92"/>
      <c r="W90" s="92"/>
      <c r="X90" s="91"/>
      <c r="Y90" s="30" t="str">
        <f>IF(ListaMB!D97&lt;&gt;"", TEXT(ListaMB!B97, "00000000"), "")</f>
        <v/>
      </c>
      <c r="Z90" s="30" t="str">
        <f>IF(ListaMB!D97&lt;&gt;"", ListaMB!D97, "")</f>
        <v/>
      </c>
      <c r="AA90" s="30" t="str">
        <f>IF(ListaMB!D97&lt;&gt;"", ListaMB!I97, "")</f>
        <v/>
      </c>
      <c r="AB90" s="31">
        <f>IF(ListaMB!D97&lt;&gt;"", ListaMB!K97, 0)</f>
        <v>0</v>
      </c>
      <c r="AC90">
        <f t="shared" si="5"/>
        <v>0</v>
      </c>
    </row>
    <row r="91" spans="4:29" hidden="1" x14ac:dyDescent="0.2">
      <c r="D91" t="s">
        <v>439</v>
      </c>
      <c r="E91">
        <v>1</v>
      </c>
      <c r="F91">
        <f>Bilanca!I100</f>
        <v>90</v>
      </c>
      <c r="G91" t="str">
        <f>IF(Bilanca!J100=0,"",Bilanca!J100)</f>
        <v/>
      </c>
      <c r="H91" s="49">
        <f t="shared" si="3"/>
        <v>3947033700</v>
      </c>
      <c r="I91">
        <f t="shared" si="4"/>
        <v>0</v>
      </c>
      <c r="J91" s="90">
        <f>Bilanca!K100</f>
        <v>1339415000</v>
      </c>
      <c r="K91" s="91">
        <f>Bilanca!L100</f>
        <v>1523089000</v>
      </c>
      <c r="L91" s="90"/>
      <c r="M91" s="92"/>
      <c r="N91" s="92"/>
      <c r="O91" s="92"/>
      <c r="P91" s="92"/>
      <c r="Q91" s="92"/>
      <c r="R91" s="92"/>
      <c r="S91" s="92"/>
      <c r="T91" s="92"/>
      <c r="U91" s="92"/>
      <c r="V91" s="92"/>
      <c r="W91" s="92"/>
      <c r="X91" s="91"/>
      <c r="Y91" s="30" t="str">
        <f>IF(ListaMB!D98&lt;&gt;"", TEXT(ListaMB!B98, "00000000"), "")</f>
        <v/>
      </c>
      <c r="Z91" s="30" t="str">
        <f>IF(ListaMB!D98&lt;&gt;"", ListaMB!D98, "")</f>
        <v/>
      </c>
      <c r="AA91" s="30" t="str">
        <f>IF(ListaMB!D98&lt;&gt;"", ListaMB!I98, "")</f>
        <v/>
      </c>
      <c r="AB91" s="31">
        <f>IF(ListaMB!D98&lt;&gt;"", ListaMB!K98, 0)</f>
        <v>0</v>
      </c>
      <c r="AC91">
        <f t="shared" si="5"/>
        <v>0</v>
      </c>
    </row>
    <row r="92" spans="4:29" hidden="1" x14ac:dyDescent="0.2">
      <c r="D92" t="s">
        <v>439</v>
      </c>
      <c r="E92">
        <v>1</v>
      </c>
      <c r="F92">
        <f>Bilanca!I101</f>
        <v>91</v>
      </c>
      <c r="G92" t="str">
        <f>IF(Bilanca!J101=0,"",Bilanca!J101)</f>
        <v/>
      </c>
      <c r="H92" s="49">
        <f t="shared" si="3"/>
        <v>0</v>
      </c>
      <c r="I92">
        <f t="shared" si="4"/>
        <v>0</v>
      </c>
      <c r="J92" s="90">
        <f>Bilanca!K101</f>
        <v>0</v>
      </c>
      <c r="K92" s="91">
        <f>Bilanca!L101</f>
        <v>0</v>
      </c>
      <c r="L92" s="90"/>
      <c r="M92" s="92"/>
      <c r="N92" s="92"/>
      <c r="O92" s="92"/>
      <c r="P92" s="92"/>
      <c r="Q92" s="92"/>
      <c r="R92" s="92"/>
      <c r="S92" s="92"/>
      <c r="T92" s="92"/>
      <c r="U92" s="92"/>
      <c r="V92" s="92"/>
      <c r="W92" s="92"/>
      <c r="X92" s="91"/>
      <c r="Y92" s="30" t="str">
        <f>IF(ListaMB!D99&lt;&gt;"", TEXT(ListaMB!B99, "00000000"), "")</f>
        <v/>
      </c>
      <c r="Z92" s="30" t="str">
        <f>IF(ListaMB!D99&lt;&gt;"", ListaMB!D99, "")</f>
        <v/>
      </c>
      <c r="AA92" s="30" t="str">
        <f>IF(ListaMB!D99&lt;&gt;"", ListaMB!I99, "")</f>
        <v/>
      </c>
      <c r="AB92" s="31">
        <f>IF(ListaMB!D99&lt;&gt;"", ListaMB!K99, 0)</f>
        <v>0</v>
      </c>
      <c r="AC92">
        <f t="shared" si="5"/>
        <v>0</v>
      </c>
    </row>
    <row r="93" spans="4:29" hidden="1" x14ac:dyDescent="0.2">
      <c r="D93" t="s">
        <v>439</v>
      </c>
      <c r="E93">
        <v>1</v>
      </c>
      <c r="F93">
        <f>Bilanca!I102</f>
        <v>92</v>
      </c>
      <c r="G93" t="str">
        <f>IF(Bilanca!J102=0,"",Bilanca!J102)</f>
        <v/>
      </c>
      <c r="H93" s="49">
        <f t="shared" si="3"/>
        <v>0</v>
      </c>
      <c r="I93">
        <f t="shared" si="4"/>
        <v>0</v>
      </c>
      <c r="J93" s="90">
        <f>Bilanca!K102</f>
        <v>0</v>
      </c>
      <c r="K93" s="91">
        <f>Bilanca!L102</f>
        <v>0</v>
      </c>
      <c r="L93" s="90"/>
      <c r="M93" s="92"/>
      <c r="N93" s="92"/>
      <c r="O93" s="92"/>
      <c r="P93" s="92"/>
      <c r="Q93" s="92"/>
      <c r="R93" s="92"/>
      <c r="S93" s="92"/>
      <c r="T93" s="92"/>
      <c r="U93" s="92"/>
      <c r="V93" s="92"/>
      <c r="W93" s="92"/>
      <c r="X93" s="91"/>
      <c r="Y93" s="30" t="str">
        <f>IF(ListaMB!D100&lt;&gt;"", TEXT(ListaMB!B100, "00000000"), "")</f>
        <v/>
      </c>
      <c r="Z93" s="30" t="str">
        <f>IF(ListaMB!D100&lt;&gt;"", ListaMB!D100, "")</f>
        <v/>
      </c>
      <c r="AA93" s="30" t="str">
        <f>IF(ListaMB!D100&lt;&gt;"", ListaMB!I100, "")</f>
        <v/>
      </c>
      <c r="AB93" s="31">
        <f>IF(ListaMB!D100&lt;&gt;"", ListaMB!K100, 0)</f>
        <v>0</v>
      </c>
      <c r="AC93">
        <f t="shared" si="5"/>
        <v>0</v>
      </c>
    </row>
    <row r="94" spans="4:29" hidden="1" x14ac:dyDescent="0.2">
      <c r="D94" t="s">
        <v>439</v>
      </c>
      <c r="E94">
        <v>1</v>
      </c>
      <c r="F94">
        <f>Bilanca!I103</f>
        <v>93</v>
      </c>
      <c r="G94" t="str">
        <f>IF(Bilanca!J103=0,"",Bilanca!J103)</f>
        <v/>
      </c>
      <c r="H94" s="49">
        <f t="shared" si="3"/>
        <v>2026656000</v>
      </c>
      <c r="I94">
        <f t="shared" si="4"/>
        <v>0</v>
      </c>
      <c r="J94" s="90">
        <f>Bilanca!K103</f>
        <v>723056000</v>
      </c>
      <c r="K94" s="91">
        <f>Bilanca!L103</f>
        <v>728072000</v>
      </c>
      <c r="L94" s="90"/>
      <c r="M94" s="92"/>
      <c r="N94" s="92"/>
      <c r="O94" s="92"/>
      <c r="P94" s="92"/>
      <c r="Q94" s="92"/>
      <c r="R94" s="92"/>
      <c r="S94" s="92"/>
      <c r="T94" s="92"/>
      <c r="U94" s="92"/>
      <c r="V94" s="92"/>
      <c r="W94" s="92"/>
      <c r="X94" s="91"/>
      <c r="Y94" s="30" t="str">
        <f>IF(ListaMB!D101&lt;&gt;"", TEXT(ListaMB!B101, "00000000"), "")</f>
        <v/>
      </c>
      <c r="Z94" s="30" t="str">
        <f>IF(ListaMB!D101&lt;&gt;"", ListaMB!D101, "")</f>
        <v/>
      </c>
      <c r="AA94" s="30" t="str">
        <f>IF(ListaMB!D101&lt;&gt;"", ListaMB!I101, "")</f>
        <v/>
      </c>
      <c r="AB94" s="31">
        <f>IF(ListaMB!D101&lt;&gt;"", ListaMB!K101, 0)</f>
        <v>0</v>
      </c>
      <c r="AC94">
        <f t="shared" si="5"/>
        <v>0</v>
      </c>
    </row>
    <row r="95" spans="4:29" hidden="1" x14ac:dyDescent="0.2">
      <c r="D95" t="s">
        <v>439</v>
      </c>
      <c r="E95">
        <v>1</v>
      </c>
      <c r="F95">
        <f>Bilanca!I104</f>
        <v>94</v>
      </c>
      <c r="G95" t="str">
        <f>IF(Bilanca!J104=0,"",Bilanca!J104)</f>
        <v/>
      </c>
      <c r="H95" s="49">
        <f t="shared" si="3"/>
        <v>3204460</v>
      </c>
      <c r="I95">
        <f t="shared" si="4"/>
        <v>0</v>
      </c>
      <c r="J95" s="90">
        <f>Bilanca!K104</f>
        <v>1003000</v>
      </c>
      <c r="K95" s="91">
        <f>Bilanca!L104</f>
        <v>1203000</v>
      </c>
      <c r="L95" s="90"/>
      <c r="M95" s="92"/>
      <c r="N95" s="92"/>
      <c r="O95" s="92"/>
      <c r="P95" s="92"/>
      <c r="Q95" s="92"/>
      <c r="R95" s="92"/>
      <c r="S95" s="92"/>
      <c r="T95" s="92"/>
      <c r="U95" s="92"/>
      <c r="V95" s="92"/>
      <c r="W95" s="92"/>
      <c r="X95" s="91"/>
      <c r="Y95" s="30" t="str">
        <f>IF(ListaMB!D102&lt;&gt;"", TEXT(ListaMB!B102, "00000000"), "")</f>
        <v/>
      </c>
      <c r="Z95" s="30" t="str">
        <f>IF(ListaMB!D102&lt;&gt;"", ListaMB!D102, "")</f>
        <v/>
      </c>
      <c r="AA95" s="30" t="str">
        <f>IF(ListaMB!D102&lt;&gt;"", ListaMB!I102, "")</f>
        <v/>
      </c>
      <c r="AB95" s="31">
        <f>IF(ListaMB!D102&lt;&gt;"", ListaMB!K102, 0)</f>
        <v>0</v>
      </c>
      <c r="AC95">
        <f t="shared" si="5"/>
        <v>0</v>
      </c>
    </row>
    <row r="96" spans="4:29" hidden="1" x14ac:dyDescent="0.2">
      <c r="D96" t="s">
        <v>439</v>
      </c>
      <c r="E96">
        <v>1</v>
      </c>
      <c r="F96">
        <f>Bilanca!I105</f>
        <v>95</v>
      </c>
      <c r="G96" t="str">
        <f>IF(Bilanca!J105=0,"",Bilanca!J105)</f>
        <v/>
      </c>
      <c r="H96" s="49">
        <f t="shared" si="3"/>
        <v>1508818500</v>
      </c>
      <c r="I96">
        <f t="shared" si="4"/>
        <v>0</v>
      </c>
      <c r="J96" s="90">
        <f>Bilanca!K105</f>
        <v>492648000</v>
      </c>
      <c r="K96" s="91">
        <f>Bilanca!L105</f>
        <v>547791000</v>
      </c>
      <c r="L96" s="90"/>
      <c r="M96" s="92"/>
      <c r="N96" s="92"/>
      <c r="O96" s="92"/>
      <c r="P96" s="92"/>
      <c r="Q96" s="92"/>
      <c r="R96" s="92"/>
      <c r="S96" s="92"/>
      <c r="T96" s="92"/>
      <c r="U96" s="92"/>
      <c r="V96" s="92"/>
      <c r="W96" s="92"/>
      <c r="X96" s="91"/>
      <c r="Y96" s="30" t="str">
        <f>IF(ListaMB!D103&lt;&gt;"", TEXT(ListaMB!B103, "00000000"), "")</f>
        <v/>
      </c>
      <c r="Z96" s="30" t="str">
        <f>IF(ListaMB!D103&lt;&gt;"", ListaMB!D103, "")</f>
        <v/>
      </c>
      <c r="AA96" s="30" t="str">
        <f>IF(ListaMB!D103&lt;&gt;"", ListaMB!I103, "")</f>
        <v/>
      </c>
      <c r="AB96" s="31">
        <f>IF(ListaMB!D103&lt;&gt;"", ListaMB!K103, 0)</f>
        <v>0</v>
      </c>
      <c r="AC96">
        <f t="shared" si="5"/>
        <v>0</v>
      </c>
    </row>
    <row r="97" spans="4:29" hidden="1" x14ac:dyDescent="0.2">
      <c r="D97" t="s">
        <v>439</v>
      </c>
      <c r="E97">
        <v>1</v>
      </c>
      <c r="F97">
        <f>Bilanca!I106</f>
        <v>96</v>
      </c>
      <c r="G97" t="str">
        <f>IF(Bilanca!J106=0,"",Bilanca!J106)</f>
        <v/>
      </c>
      <c r="H97" s="49">
        <f t="shared" si="3"/>
        <v>266096640</v>
      </c>
      <c r="I97">
        <f t="shared" si="4"/>
        <v>0</v>
      </c>
      <c r="J97" s="90">
        <f>Bilanca!K106</f>
        <v>0</v>
      </c>
      <c r="K97" s="91">
        <f>Bilanca!L106</f>
        <v>138592000</v>
      </c>
      <c r="L97" s="90"/>
      <c r="M97" s="92"/>
      <c r="N97" s="92"/>
      <c r="O97" s="92"/>
      <c r="P97" s="92"/>
      <c r="Q97" s="92"/>
      <c r="R97" s="92"/>
      <c r="S97" s="92"/>
      <c r="T97" s="92"/>
      <c r="U97" s="92"/>
      <c r="V97" s="92"/>
      <c r="W97" s="92"/>
      <c r="X97" s="91"/>
      <c r="Y97" s="30" t="str">
        <f>IF(ListaMB!D104&lt;&gt;"", TEXT(ListaMB!B104, "00000000"), "")</f>
        <v/>
      </c>
      <c r="Z97" s="30" t="str">
        <f>IF(ListaMB!D104&lt;&gt;"", ListaMB!D104, "")</f>
        <v/>
      </c>
      <c r="AA97" s="30" t="str">
        <f>IF(ListaMB!D104&lt;&gt;"", ListaMB!I104, "")</f>
        <v/>
      </c>
      <c r="AB97" s="31">
        <f>IF(ListaMB!D104&lt;&gt;"", ListaMB!K104, 0)</f>
        <v>0</v>
      </c>
      <c r="AC97">
        <f t="shared" si="5"/>
        <v>0</v>
      </c>
    </row>
    <row r="98" spans="4:29" hidden="1" x14ac:dyDescent="0.2">
      <c r="D98" t="s">
        <v>439</v>
      </c>
      <c r="E98">
        <v>1</v>
      </c>
      <c r="F98">
        <f>Bilanca!I107</f>
        <v>97</v>
      </c>
      <c r="G98" t="str">
        <f>IF(Bilanca!J107=0,"",Bilanca!J107)</f>
        <v/>
      </c>
      <c r="H98" s="49">
        <f t="shared" si="3"/>
        <v>182151450</v>
      </c>
      <c r="I98">
        <f t="shared" si="4"/>
        <v>0</v>
      </c>
      <c r="J98" s="90">
        <f>Bilanca!K107</f>
        <v>62643000</v>
      </c>
      <c r="K98" s="91">
        <f>Bilanca!L107</f>
        <v>62571000</v>
      </c>
      <c r="L98" s="90"/>
      <c r="M98" s="92"/>
      <c r="N98" s="92"/>
      <c r="O98" s="92"/>
      <c r="P98" s="92"/>
      <c r="Q98" s="92"/>
      <c r="R98" s="92"/>
      <c r="S98" s="92"/>
      <c r="T98" s="92"/>
      <c r="U98" s="92"/>
      <c r="V98" s="92"/>
      <c r="W98" s="92"/>
      <c r="X98" s="91"/>
      <c r="Y98" s="30" t="str">
        <f>IF(ListaMB!D105&lt;&gt;"", TEXT(ListaMB!B105, "00000000"), "")</f>
        <v/>
      </c>
      <c r="Z98" s="30" t="str">
        <f>IF(ListaMB!D105&lt;&gt;"", ListaMB!D105, "")</f>
        <v/>
      </c>
      <c r="AA98" s="30" t="str">
        <f>IF(ListaMB!D105&lt;&gt;"", ListaMB!I105, "")</f>
        <v/>
      </c>
      <c r="AB98" s="31">
        <f>IF(ListaMB!D105&lt;&gt;"", ListaMB!K105, 0)</f>
        <v>0</v>
      </c>
      <c r="AC98">
        <f t="shared" si="5"/>
        <v>0</v>
      </c>
    </row>
    <row r="99" spans="4:29" hidden="1" x14ac:dyDescent="0.2">
      <c r="D99" t="s">
        <v>439</v>
      </c>
      <c r="E99">
        <v>1</v>
      </c>
      <c r="F99">
        <f>Bilanca!I108</f>
        <v>98</v>
      </c>
      <c r="G99" t="str">
        <f>IF(Bilanca!J108=0,"",Bilanca!J108)</f>
        <v/>
      </c>
      <c r="H99" s="49">
        <f t="shared" si="3"/>
        <v>36038520</v>
      </c>
      <c r="I99">
        <f t="shared" si="4"/>
        <v>0</v>
      </c>
      <c r="J99" s="90">
        <f>Bilanca!K108</f>
        <v>8392000</v>
      </c>
      <c r="K99" s="91">
        <f>Bilanca!L108</f>
        <v>14191000</v>
      </c>
      <c r="L99" s="90"/>
      <c r="M99" s="92"/>
      <c r="N99" s="92"/>
      <c r="O99" s="92"/>
      <c r="P99" s="92"/>
      <c r="Q99" s="92"/>
      <c r="R99" s="92"/>
      <c r="S99" s="92"/>
      <c r="T99" s="92"/>
      <c r="U99" s="92"/>
      <c r="V99" s="92"/>
      <c r="W99" s="92"/>
      <c r="X99" s="91"/>
      <c r="Y99" s="30" t="str">
        <f>IF(ListaMB!D106&lt;&gt;"", TEXT(ListaMB!B106, "00000000"), "")</f>
        <v/>
      </c>
      <c r="Z99" s="30" t="str">
        <f>IF(ListaMB!D106&lt;&gt;"", ListaMB!D106, "")</f>
        <v/>
      </c>
      <c r="AA99" s="30" t="str">
        <f>IF(ListaMB!D106&lt;&gt;"", ListaMB!I106, "")</f>
        <v/>
      </c>
      <c r="AB99" s="31">
        <f>IF(ListaMB!D106&lt;&gt;"", ListaMB!K106, 0)</f>
        <v>0</v>
      </c>
      <c r="AC99">
        <f t="shared" si="5"/>
        <v>0</v>
      </c>
    </row>
    <row r="100" spans="4:29" hidden="1" x14ac:dyDescent="0.2">
      <c r="D100" t="s">
        <v>439</v>
      </c>
      <c r="E100">
        <v>1</v>
      </c>
      <c r="F100">
        <f>Bilanca!I109</f>
        <v>99</v>
      </c>
      <c r="G100" t="str">
        <f>IF(Bilanca!J109=0,"",Bilanca!J109)</f>
        <v/>
      </c>
      <c r="H100" s="49">
        <f t="shared" si="3"/>
        <v>5303430</v>
      </c>
      <c r="I100">
        <f t="shared" si="4"/>
        <v>0</v>
      </c>
      <c r="J100" s="90">
        <f>Bilanca!K109</f>
        <v>1807000</v>
      </c>
      <c r="K100" s="91">
        <f>Bilanca!L109</f>
        <v>1775000</v>
      </c>
      <c r="L100" s="90"/>
      <c r="M100" s="92"/>
      <c r="N100" s="92"/>
      <c r="O100" s="92"/>
      <c r="P100" s="92"/>
      <c r="Q100" s="92"/>
      <c r="R100" s="92"/>
      <c r="S100" s="92"/>
      <c r="T100" s="92"/>
      <c r="U100" s="92"/>
      <c r="V100" s="92"/>
      <c r="W100" s="92"/>
      <c r="X100" s="91"/>
      <c r="Y100" s="30" t="str">
        <f>IF(ListaMB!D107&lt;&gt;"", TEXT(ListaMB!B107, "00000000"), "")</f>
        <v/>
      </c>
      <c r="Z100" s="30" t="str">
        <f>IF(ListaMB!D107&lt;&gt;"", ListaMB!D107, "")</f>
        <v/>
      </c>
      <c r="AA100" s="30" t="str">
        <f>IF(ListaMB!D107&lt;&gt;"", ListaMB!I107, "")</f>
        <v/>
      </c>
      <c r="AB100" s="31">
        <f>IF(ListaMB!D107&lt;&gt;"", ListaMB!K107, 0)</f>
        <v>0</v>
      </c>
      <c r="AC100">
        <f t="shared" si="5"/>
        <v>0</v>
      </c>
    </row>
    <row r="101" spans="4:29" hidden="1" x14ac:dyDescent="0.2">
      <c r="D101" t="s">
        <v>439</v>
      </c>
      <c r="E101">
        <v>1</v>
      </c>
      <c r="F101">
        <f>Bilanca!I110</f>
        <v>100</v>
      </c>
      <c r="G101" t="str">
        <f>IF(Bilanca!J110=0,"",Bilanca!J110)</f>
        <v/>
      </c>
      <c r="H101" s="49">
        <f t="shared" si="3"/>
        <v>0</v>
      </c>
      <c r="I101">
        <f t="shared" si="4"/>
        <v>0</v>
      </c>
      <c r="J101" s="90">
        <f>Bilanca!K110</f>
        <v>0</v>
      </c>
      <c r="K101" s="91">
        <f>Bilanca!L110</f>
        <v>0</v>
      </c>
      <c r="L101" s="90"/>
      <c r="M101" s="92"/>
      <c r="N101" s="92"/>
      <c r="O101" s="92"/>
      <c r="P101" s="92"/>
      <c r="Q101" s="92"/>
      <c r="R101" s="92"/>
      <c r="S101" s="92"/>
      <c r="T101" s="92"/>
      <c r="U101" s="92"/>
      <c r="V101" s="92"/>
      <c r="W101" s="92"/>
      <c r="X101" s="91"/>
      <c r="Y101" s="32" t="str">
        <f>IF(ListaMB!D108&lt;&gt;"", TEXT(ListaMB!B108, "00000000"), "")</f>
        <v/>
      </c>
      <c r="Z101" s="33" t="str">
        <f>IF(ListaMB!D108&lt;&gt;"", ListaMB!D108, "")</f>
        <v/>
      </c>
      <c r="AA101" s="33" t="str">
        <f>IF(ListaMB!D108&lt;&gt;"", ListaMB!I108, "")</f>
        <v/>
      </c>
      <c r="AB101" s="34">
        <f>IF(ListaMB!D108&lt;&gt;"", ListaMB!K108, 0)</f>
        <v>0</v>
      </c>
      <c r="AC101">
        <f t="shared" si="5"/>
        <v>0</v>
      </c>
    </row>
    <row r="102" spans="4:29" hidden="1" x14ac:dyDescent="0.2">
      <c r="D102" t="s">
        <v>439</v>
      </c>
      <c r="E102">
        <v>1</v>
      </c>
      <c r="F102">
        <f>Bilanca!I111</f>
        <v>101</v>
      </c>
      <c r="G102" t="str">
        <f>IF(Bilanca!J111=0,"",Bilanca!J111)</f>
        <v/>
      </c>
      <c r="H102" s="49">
        <f t="shared" si="3"/>
        <v>108730540</v>
      </c>
      <c r="I102">
        <f t="shared" si="4"/>
        <v>0</v>
      </c>
      <c r="J102" s="90">
        <f>Bilanca!K111</f>
        <v>49866000</v>
      </c>
      <c r="K102" s="91">
        <f>Bilanca!L111</f>
        <v>28894000</v>
      </c>
      <c r="L102" s="90"/>
      <c r="M102" s="92"/>
      <c r="N102" s="92"/>
      <c r="O102" s="92"/>
      <c r="P102" s="92"/>
      <c r="Q102" s="92"/>
      <c r="R102" s="92"/>
      <c r="S102" s="92"/>
      <c r="T102" s="92"/>
      <c r="U102" s="92"/>
      <c r="V102" s="92"/>
      <c r="W102" s="92"/>
      <c r="X102" s="91"/>
    </row>
    <row r="103" spans="4:29" hidden="1" x14ac:dyDescent="0.2">
      <c r="D103" t="s">
        <v>439</v>
      </c>
      <c r="E103">
        <v>1</v>
      </c>
      <c r="F103">
        <f>Bilanca!I112</f>
        <v>102</v>
      </c>
      <c r="G103" t="str">
        <f>IF(Bilanca!J112=0,"",Bilanca!J112)</f>
        <v/>
      </c>
      <c r="H103" s="49">
        <f t="shared" si="3"/>
        <v>266047620</v>
      </c>
      <c r="I103">
        <f t="shared" si="4"/>
        <v>0</v>
      </c>
      <c r="J103" s="90">
        <f>Bilanca!K112</f>
        <v>81093000</v>
      </c>
      <c r="K103" s="91">
        <f>Bilanca!L112</f>
        <v>89869000</v>
      </c>
      <c r="L103" s="90"/>
      <c r="M103" s="92"/>
      <c r="N103" s="92"/>
      <c r="O103" s="92"/>
      <c r="P103" s="92"/>
      <c r="Q103" s="92"/>
      <c r="R103" s="92"/>
      <c r="S103" s="92"/>
      <c r="T103" s="92"/>
      <c r="U103" s="92"/>
      <c r="V103" s="92"/>
      <c r="W103" s="92"/>
      <c r="X103" s="91"/>
    </row>
    <row r="104" spans="4:29" hidden="1" x14ac:dyDescent="0.2">
      <c r="D104" t="s">
        <v>439</v>
      </c>
      <c r="E104">
        <v>1</v>
      </c>
      <c r="F104">
        <f>Bilanca!I113</f>
        <v>103</v>
      </c>
      <c r="G104" t="str">
        <f>IF(Bilanca!J113=0,"",Bilanca!J113)</f>
        <v/>
      </c>
      <c r="H104" s="49">
        <f t="shared" si="3"/>
        <v>13265088810</v>
      </c>
      <c r="I104">
        <f t="shared" si="4"/>
        <v>0</v>
      </c>
      <c r="J104" s="90">
        <f>Bilanca!K113</f>
        <v>3844535000</v>
      </c>
      <c r="K104" s="91">
        <f>Bilanca!L113</f>
        <v>4517096000</v>
      </c>
      <c r="L104" s="90"/>
      <c r="M104" s="92"/>
      <c r="N104" s="92"/>
      <c r="O104" s="92"/>
      <c r="P104" s="92"/>
      <c r="Q104" s="92"/>
      <c r="R104" s="92"/>
      <c r="S104" s="92"/>
      <c r="T104" s="92"/>
      <c r="U104" s="92"/>
      <c r="V104" s="92"/>
      <c r="W104" s="92"/>
      <c r="X104" s="91"/>
    </row>
    <row r="105" spans="4:29" hidden="1" x14ac:dyDescent="0.2">
      <c r="D105" t="s">
        <v>439</v>
      </c>
      <c r="E105">
        <v>1</v>
      </c>
      <c r="F105">
        <f>Bilanca!I114</f>
        <v>104</v>
      </c>
      <c r="G105" t="str">
        <f>IF(Bilanca!J114=0,"",Bilanca!J114)</f>
        <v/>
      </c>
      <c r="H105" s="49">
        <f t="shared" si="3"/>
        <v>0</v>
      </c>
      <c r="I105">
        <f t="shared" si="4"/>
        <v>0</v>
      </c>
      <c r="J105" s="90">
        <f>Bilanca!K114</f>
        <v>0</v>
      </c>
      <c r="K105" s="91">
        <f>Bilanca!L114</f>
        <v>0</v>
      </c>
      <c r="L105" s="90"/>
      <c r="M105" s="92"/>
      <c r="N105" s="92"/>
      <c r="O105" s="92"/>
      <c r="P105" s="92"/>
      <c r="Q105" s="92"/>
      <c r="R105" s="92"/>
      <c r="S105" s="92"/>
      <c r="T105" s="92"/>
      <c r="U105" s="92"/>
      <c r="V105" s="92"/>
      <c r="W105" s="92"/>
      <c r="X105" s="91"/>
    </row>
    <row r="106" spans="4:29" hidden="1" x14ac:dyDescent="0.2">
      <c r="D106" t="s">
        <v>439</v>
      </c>
      <c r="E106">
        <v>1</v>
      </c>
      <c r="F106">
        <f>Bilanca!I117</f>
        <v>105</v>
      </c>
      <c r="G106" t="str">
        <f>IF(Bilanca!J117=0,"",Bilanca!J117)</f>
        <v/>
      </c>
      <c r="H106" s="49">
        <f t="shared" si="3"/>
        <v>6064323300</v>
      </c>
      <c r="I106">
        <f t="shared" si="4"/>
        <v>0</v>
      </c>
      <c r="J106" s="90">
        <f>Bilanca!K117</f>
        <v>1943234000</v>
      </c>
      <c r="K106" s="91">
        <f>Bilanca!L117</f>
        <v>1916156000</v>
      </c>
      <c r="L106" s="90"/>
      <c r="M106" s="92"/>
      <c r="N106" s="92"/>
      <c r="O106" s="92"/>
      <c r="P106" s="92"/>
      <c r="Q106" s="92"/>
      <c r="R106" s="92"/>
      <c r="S106" s="92"/>
      <c r="T106" s="92"/>
      <c r="U106" s="92"/>
      <c r="V106" s="92"/>
      <c r="W106" s="92"/>
      <c r="X106" s="91"/>
    </row>
    <row r="107" spans="4:29" hidden="1" x14ac:dyDescent="0.2">
      <c r="D107" t="s">
        <v>439</v>
      </c>
      <c r="E107">
        <v>1</v>
      </c>
      <c r="F107">
        <f>Bilanca!I118</f>
        <v>106</v>
      </c>
      <c r="G107" t="str">
        <f>IF(Bilanca!J118=0,"",Bilanca!J118)</f>
        <v/>
      </c>
      <c r="H107" s="49">
        <f t="shared" si="3"/>
        <v>73354120</v>
      </c>
      <c r="I107">
        <f t="shared" si="4"/>
        <v>0</v>
      </c>
      <c r="J107" s="90">
        <f>Bilanca!K118</f>
        <v>0</v>
      </c>
      <c r="K107" s="91">
        <f>Bilanca!L118</f>
        <v>34601000</v>
      </c>
      <c r="L107" s="90"/>
      <c r="M107" s="92"/>
      <c r="N107" s="92"/>
      <c r="O107" s="92"/>
      <c r="P107" s="92"/>
      <c r="Q107" s="92"/>
      <c r="R107" s="92"/>
      <c r="S107" s="92"/>
      <c r="T107" s="92"/>
      <c r="U107" s="92"/>
      <c r="V107" s="92"/>
      <c r="W107" s="92"/>
      <c r="X107" s="91"/>
    </row>
    <row r="108" spans="4:29" hidden="1" x14ac:dyDescent="0.2">
      <c r="D108" t="s">
        <v>1410</v>
      </c>
      <c r="E108">
        <v>2</v>
      </c>
      <c r="F108">
        <f>RDG!I9</f>
        <v>107</v>
      </c>
      <c r="G108" t="str">
        <f>IF(RDG!J9=0,"",RDG!J9)</f>
        <v/>
      </c>
      <c r="H108" s="49">
        <f t="shared" si="3"/>
        <v>2690688340</v>
      </c>
      <c r="I108">
        <f t="shared" si="4"/>
        <v>0</v>
      </c>
      <c r="J108" s="90">
        <f>RDG!K9</f>
        <v>821480000</v>
      </c>
      <c r="K108" s="91">
        <f>RDG!L9</f>
        <v>846591000</v>
      </c>
      <c r="L108" s="90"/>
      <c r="M108" s="92"/>
      <c r="N108" s="92"/>
      <c r="O108" s="92"/>
      <c r="P108" s="92"/>
      <c r="Q108" s="92"/>
      <c r="R108" s="92"/>
      <c r="S108" s="92"/>
      <c r="T108" s="92"/>
      <c r="U108" s="92"/>
      <c r="V108" s="92"/>
      <c r="W108" s="92"/>
      <c r="X108" s="91"/>
    </row>
    <row r="109" spans="4:29" hidden="1" x14ac:dyDescent="0.2">
      <c r="D109" t="s">
        <v>1410</v>
      </c>
      <c r="E109">
        <v>2</v>
      </c>
      <c r="F109">
        <f>RDG!I10</f>
        <v>108</v>
      </c>
      <c r="G109" t="str">
        <f>IF(RDG!J10=0,"",RDG!J10)</f>
        <v/>
      </c>
      <c r="H109" s="49">
        <f t="shared" si="3"/>
        <v>2570836320</v>
      </c>
      <c r="I109">
        <f t="shared" si="4"/>
        <v>0</v>
      </c>
      <c r="J109" s="90">
        <f>RDG!K10</f>
        <v>784118000</v>
      </c>
      <c r="K109" s="91">
        <f>RDG!L10</f>
        <v>798143000</v>
      </c>
      <c r="L109" s="90"/>
      <c r="M109" s="92"/>
      <c r="N109" s="92"/>
      <c r="O109" s="92"/>
      <c r="P109" s="92"/>
      <c r="Q109" s="92"/>
      <c r="R109" s="92"/>
      <c r="S109" s="92"/>
      <c r="T109" s="92"/>
      <c r="U109" s="92"/>
      <c r="V109" s="92"/>
      <c r="W109" s="92"/>
      <c r="X109" s="91"/>
    </row>
    <row r="110" spans="4:29" hidden="1" x14ac:dyDescent="0.2">
      <c r="D110" t="s">
        <v>1410</v>
      </c>
      <c r="E110">
        <v>2</v>
      </c>
      <c r="F110">
        <f>RDG!I11</f>
        <v>109</v>
      </c>
      <c r="G110" t="str">
        <f>IF(RDG!J11=0,"",RDG!J11)</f>
        <v/>
      </c>
      <c r="H110" s="49">
        <f t="shared" si="3"/>
        <v>49938350</v>
      </c>
      <c r="I110">
        <f t="shared" si="4"/>
        <v>0</v>
      </c>
      <c r="J110" s="90">
        <f>RDG!K11</f>
        <v>16851000</v>
      </c>
      <c r="K110" s="91">
        <f>RDG!L11</f>
        <v>14482000</v>
      </c>
      <c r="L110" s="90"/>
      <c r="M110" s="92"/>
      <c r="N110" s="92"/>
      <c r="O110" s="92"/>
      <c r="P110" s="92"/>
      <c r="Q110" s="92"/>
      <c r="R110" s="92"/>
      <c r="S110" s="92"/>
      <c r="T110" s="92"/>
      <c r="U110" s="92"/>
      <c r="V110" s="92"/>
      <c r="W110" s="92"/>
      <c r="X110" s="91"/>
    </row>
    <row r="111" spans="4:29" hidden="1" x14ac:dyDescent="0.2">
      <c r="D111" t="s">
        <v>1410</v>
      </c>
      <c r="E111">
        <v>2</v>
      </c>
      <c r="F111">
        <f>RDG!I12</f>
        <v>110</v>
      </c>
      <c r="G111" t="str">
        <f>IF(RDG!J12=0,"",RDG!J12)</f>
        <v/>
      </c>
      <c r="H111" s="49">
        <f t="shared" si="3"/>
        <v>97287300</v>
      </c>
      <c r="I111">
        <f t="shared" si="4"/>
        <v>0</v>
      </c>
      <c r="J111" s="90">
        <f>RDG!K12</f>
        <v>20511000</v>
      </c>
      <c r="K111" s="91">
        <f>RDG!L12</f>
        <v>33966000</v>
      </c>
      <c r="L111" s="90"/>
      <c r="M111" s="92"/>
      <c r="N111" s="92"/>
      <c r="O111" s="92"/>
      <c r="P111" s="92"/>
      <c r="Q111" s="92"/>
      <c r="R111" s="92"/>
      <c r="S111" s="92"/>
      <c r="T111" s="92"/>
      <c r="U111" s="92"/>
      <c r="V111" s="92"/>
      <c r="W111" s="92"/>
      <c r="X111" s="91"/>
    </row>
    <row r="112" spans="4:29" hidden="1" x14ac:dyDescent="0.2">
      <c r="D112" t="s">
        <v>1410</v>
      </c>
      <c r="E112">
        <v>2</v>
      </c>
      <c r="F112">
        <f>RDG!I13</f>
        <v>111</v>
      </c>
      <c r="G112" t="str">
        <f>IF(RDG!J13=0,"",RDG!J13)</f>
        <v/>
      </c>
      <c r="H112" s="49">
        <f t="shared" si="3"/>
        <v>2640078390</v>
      </c>
      <c r="I112">
        <f t="shared" si="4"/>
        <v>0</v>
      </c>
      <c r="J112" s="90">
        <f>RDG!K13</f>
        <v>791249000</v>
      </c>
      <c r="K112" s="91">
        <f>RDG!L13</f>
        <v>793600000</v>
      </c>
      <c r="L112" s="90"/>
      <c r="M112" s="92"/>
      <c r="N112" s="92"/>
      <c r="O112" s="92"/>
      <c r="P112" s="92"/>
      <c r="Q112" s="92"/>
      <c r="R112" s="92"/>
      <c r="S112" s="92"/>
      <c r="T112" s="92"/>
      <c r="U112" s="92"/>
      <c r="V112" s="92"/>
      <c r="W112" s="92"/>
      <c r="X112" s="91"/>
    </row>
    <row r="113" spans="4:24" hidden="1" x14ac:dyDescent="0.2">
      <c r="D113" t="s">
        <v>1410</v>
      </c>
      <c r="E113">
        <v>2</v>
      </c>
      <c r="F113">
        <f>RDG!I14</f>
        <v>112</v>
      </c>
      <c r="G113" t="str">
        <f>IF(RDG!J14=0,"",RDG!J14)</f>
        <v/>
      </c>
      <c r="H113" s="49">
        <f t="shared" si="3"/>
        <v>0</v>
      </c>
      <c r="I113">
        <f t="shared" si="4"/>
        <v>0</v>
      </c>
      <c r="J113" s="90">
        <f>RDG!K14</f>
        <v>0</v>
      </c>
      <c r="K113" s="91">
        <f>RDG!L14</f>
        <v>0</v>
      </c>
      <c r="L113" s="90"/>
      <c r="M113" s="92"/>
      <c r="N113" s="92"/>
      <c r="O113" s="92"/>
      <c r="P113" s="92"/>
      <c r="Q113" s="92"/>
      <c r="R113" s="92"/>
      <c r="S113" s="92"/>
      <c r="T113" s="92"/>
      <c r="U113" s="92"/>
      <c r="V113" s="92"/>
      <c r="W113" s="92"/>
      <c r="X113" s="91"/>
    </row>
    <row r="114" spans="4:24" hidden="1" x14ac:dyDescent="0.2">
      <c r="D114" t="s">
        <v>1410</v>
      </c>
      <c r="E114">
        <v>2</v>
      </c>
      <c r="F114">
        <f>RDG!I15</f>
        <v>113</v>
      </c>
      <c r="G114" t="str">
        <f>IF(RDG!J15=0,"",RDG!J15)</f>
        <v/>
      </c>
      <c r="H114" s="49">
        <f t="shared" si="3"/>
        <v>84016630</v>
      </c>
      <c r="I114">
        <f t="shared" si="4"/>
        <v>0</v>
      </c>
      <c r="J114" s="90">
        <f>RDG!K15</f>
        <v>26759000</v>
      </c>
      <c r="K114" s="91">
        <f>RDG!L15</f>
        <v>23796000</v>
      </c>
      <c r="L114" s="90"/>
      <c r="M114" s="92"/>
      <c r="N114" s="92"/>
      <c r="O114" s="92"/>
      <c r="P114" s="92"/>
      <c r="Q114" s="92"/>
      <c r="R114" s="92"/>
      <c r="S114" s="92"/>
      <c r="T114" s="92"/>
      <c r="U114" s="92"/>
      <c r="V114" s="92"/>
      <c r="W114" s="92"/>
      <c r="X114" s="91"/>
    </row>
    <row r="115" spans="4:24" hidden="1" x14ac:dyDescent="0.2">
      <c r="D115" t="s">
        <v>1410</v>
      </c>
      <c r="E115">
        <v>2</v>
      </c>
      <c r="F115">
        <f>RDG!I16</f>
        <v>114</v>
      </c>
      <c r="G115" t="str">
        <f>IF(RDG!J16=0,"",RDG!J16)</f>
        <v/>
      </c>
      <c r="H115" s="49">
        <f t="shared" si="3"/>
        <v>1706922000</v>
      </c>
      <c r="I115">
        <f t="shared" si="4"/>
        <v>0</v>
      </c>
      <c r="J115" s="90">
        <f>RDG!K16</f>
        <v>507268000</v>
      </c>
      <c r="K115" s="91">
        <f>RDG!L16</f>
        <v>495016000</v>
      </c>
      <c r="L115" s="90"/>
      <c r="M115" s="92"/>
      <c r="N115" s="92"/>
      <c r="O115" s="92"/>
      <c r="P115" s="92"/>
      <c r="Q115" s="92"/>
      <c r="R115" s="92"/>
      <c r="S115" s="92"/>
      <c r="T115" s="92"/>
      <c r="U115" s="92"/>
      <c r="V115" s="92"/>
      <c r="W115" s="92"/>
      <c r="X115" s="91"/>
    </row>
    <row r="116" spans="4:24" hidden="1" x14ac:dyDescent="0.2">
      <c r="D116" t="s">
        <v>1410</v>
      </c>
      <c r="E116">
        <v>2</v>
      </c>
      <c r="F116">
        <f>RDG!I17</f>
        <v>115</v>
      </c>
      <c r="G116" t="str">
        <f>IF(RDG!J17=0,"",RDG!J17)</f>
        <v/>
      </c>
      <c r="H116" s="49">
        <f t="shared" si="3"/>
        <v>984222900</v>
      </c>
      <c r="I116">
        <f t="shared" si="4"/>
        <v>0</v>
      </c>
      <c r="J116" s="90">
        <f>RDG!K17</f>
        <v>271826000</v>
      </c>
      <c r="K116" s="91">
        <f>RDG!L17</f>
        <v>292010000</v>
      </c>
      <c r="L116" s="90"/>
      <c r="M116" s="92"/>
      <c r="N116" s="92"/>
      <c r="O116" s="92"/>
      <c r="P116" s="92"/>
      <c r="Q116" s="92"/>
      <c r="R116" s="92"/>
      <c r="S116" s="92"/>
      <c r="T116" s="92"/>
      <c r="U116" s="92"/>
      <c r="V116" s="92"/>
      <c r="W116" s="92"/>
      <c r="X116" s="91"/>
    </row>
    <row r="117" spans="4:24" hidden="1" x14ac:dyDescent="0.2">
      <c r="D117" t="s">
        <v>1410</v>
      </c>
      <c r="E117">
        <v>2</v>
      </c>
      <c r="F117">
        <f>RDG!I18</f>
        <v>116</v>
      </c>
      <c r="G117" t="str">
        <f>IF(RDG!J18=0,"",RDG!J18)</f>
        <v/>
      </c>
      <c r="H117" s="49">
        <f t="shared" si="3"/>
        <v>407561360</v>
      </c>
      <c r="I117">
        <f t="shared" si="4"/>
        <v>0</v>
      </c>
      <c r="J117" s="90">
        <f>RDG!K18</f>
        <v>127636000</v>
      </c>
      <c r="K117" s="91">
        <f>RDG!L18</f>
        <v>111855000</v>
      </c>
      <c r="L117" s="90"/>
      <c r="M117" s="92"/>
      <c r="N117" s="92"/>
      <c r="O117" s="92"/>
      <c r="P117" s="92"/>
      <c r="Q117" s="92"/>
      <c r="R117" s="92"/>
      <c r="S117" s="92"/>
      <c r="T117" s="92"/>
      <c r="U117" s="92"/>
      <c r="V117" s="92"/>
      <c r="W117" s="92"/>
      <c r="X117" s="91"/>
    </row>
    <row r="118" spans="4:24" hidden="1" x14ac:dyDescent="0.2">
      <c r="D118" t="s">
        <v>1410</v>
      </c>
      <c r="E118">
        <v>2</v>
      </c>
      <c r="F118">
        <f>RDG!I19</f>
        <v>117</v>
      </c>
      <c r="G118" t="str">
        <f>IF(RDG!J19=0,"",RDG!J19)</f>
        <v/>
      </c>
      <c r="H118" s="49">
        <f t="shared" si="3"/>
        <v>339426360</v>
      </c>
      <c r="I118">
        <f t="shared" si="4"/>
        <v>0</v>
      </c>
      <c r="J118" s="90">
        <f>RDG!K19</f>
        <v>107806000</v>
      </c>
      <c r="K118" s="91">
        <f>RDG!L19</f>
        <v>91151000</v>
      </c>
      <c r="L118" s="90"/>
      <c r="M118" s="92"/>
      <c r="N118" s="92"/>
      <c r="O118" s="92"/>
      <c r="P118" s="92"/>
      <c r="Q118" s="92"/>
      <c r="R118" s="92"/>
      <c r="S118" s="92"/>
      <c r="T118" s="92"/>
      <c r="U118" s="92"/>
      <c r="V118" s="92"/>
      <c r="W118" s="92"/>
      <c r="X118" s="91"/>
    </row>
    <row r="119" spans="4:24" hidden="1" x14ac:dyDescent="0.2">
      <c r="D119" t="s">
        <v>1410</v>
      </c>
      <c r="E119">
        <v>2</v>
      </c>
      <c r="F119">
        <f>RDG!I20</f>
        <v>118</v>
      </c>
      <c r="G119" t="str">
        <f>IF(RDG!J20=0,"",RDG!J20)</f>
        <v/>
      </c>
      <c r="H119" s="49">
        <f t="shared" si="3"/>
        <v>660882600</v>
      </c>
      <c r="I119">
        <f t="shared" si="4"/>
        <v>0</v>
      </c>
      <c r="J119" s="90">
        <f>RDG!K20</f>
        <v>184684000</v>
      </c>
      <c r="K119" s="91">
        <f>RDG!L20</f>
        <v>187693000</v>
      </c>
      <c r="L119" s="90"/>
      <c r="M119" s="92"/>
      <c r="N119" s="92"/>
      <c r="O119" s="92"/>
      <c r="P119" s="92"/>
      <c r="Q119" s="92"/>
      <c r="R119" s="92"/>
      <c r="S119" s="92"/>
      <c r="T119" s="92"/>
      <c r="U119" s="92"/>
      <c r="V119" s="92"/>
      <c r="W119" s="92"/>
      <c r="X119" s="91"/>
    </row>
    <row r="120" spans="4:24" hidden="1" x14ac:dyDescent="0.2">
      <c r="D120" t="s">
        <v>1410</v>
      </c>
      <c r="E120">
        <v>2</v>
      </c>
      <c r="F120">
        <f>RDG!I21</f>
        <v>119</v>
      </c>
      <c r="G120" t="str">
        <f>IF(RDG!J21=0,"",RDG!J21)</f>
        <v/>
      </c>
      <c r="H120" s="49">
        <f t="shared" si="3"/>
        <v>456135330</v>
      </c>
      <c r="I120">
        <f t="shared" si="4"/>
        <v>0</v>
      </c>
      <c r="J120" s="90">
        <f>RDG!K21</f>
        <v>126035000</v>
      </c>
      <c r="K120" s="91">
        <f>RDG!L21</f>
        <v>128636000</v>
      </c>
      <c r="L120" s="90"/>
      <c r="M120" s="92"/>
      <c r="N120" s="92"/>
      <c r="O120" s="92"/>
      <c r="P120" s="92"/>
      <c r="Q120" s="92"/>
      <c r="R120" s="92"/>
      <c r="S120" s="92"/>
      <c r="T120" s="92"/>
      <c r="U120" s="92"/>
      <c r="V120" s="92"/>
      <c r="W120" s="92"/>
      <c r="X120" s="91"/>
    </row>
    <row r="121" spans="4:24" hidden="1" x14ac:dyDescent="0.2">
      <c r="D121" t="s">
        <v>1410</v>
      </c>
      <c r="E121">
        <v>2</v>
      </c>
      <c r="F121">
        <f>RDG!I22</f>
        <v>120</v>
      </c>
      <c r="G121" t="str">
        <f>IF(RDG!J22=0,"",RDG!J22)</f>
        <v/>
      </c>
      <c r="H121" s="49">
        <f t="shared" si="3"/>
        <v>149563200</v>
      </c>
      <c r="I121">
        <f t="shared" si="4"/>
        <v>0</v>
      </c>
      <c r="J121" s="90">
        <f>RDG!K22</f>
        <v>41214000</v>
      </c>
      <c r="K121" s="91">
        <f>RDG!L22</f>
        <v>41711000</v>
      </c>
      <c r="L121" s="90"/>
      <c r="M121" s="92"/>
      <c r="N121" s="92"/>
      <c r="O121" s="92"/>
      <c r="P121" s="92"/>
      <c r="Q121" s="92"/>
      <c r="R121" s="92"/>
      <c r="S121" s="92"/>
      <c r="T121" s="92"/>
      <c r="U121" s="92"/>
      <c r="V121" s="92"/>
      <c r="W121" s="92"/>
      <c r="X121" s="91"/>
    </row>
    <row r="122" spans="4:24" hidden="1" x14ac:dyDescent="0.2">
      <c r="D122" t="s">
        <v>1410</v>
      </c>
      <c r="E122">
        <v>2</v>
      </c>
      <c r="F122">
        <f>RDG!I23</f>
        <v>121</v>
      </c>
      <c r="G122" t="str">
        <f>IF(RDG!J23=0,"",RDG!J23)</f>
        <v/>
      </c>
      <c r="H122" s="49">
        <f t="shared" si="3"/>
        <v>63073670</v>
      </c>
      <c r="I122">
        <f t="shared" si="4"/>
        <v>0</v>
      </c>
      <c r="J122" s="90">
        <f>RDG!K23</f>
        <v>17435000</v>
      </c>
      <c r="K122" s="91">
        <f>RDG!L23</f>
        <v>17346000</v>
      </c>
      <c r="L122" s="90"/>
      <c r="M122" s="92"/>
      <c r="N122" s="92"/>
      <c r="O122" s="92"/>
      <c r="P122" s="92"/>
      <c r="Q122" s="92"/>
      <c r="R122" s="92"/>
      <c r="S122" s="92"/>
      <c r="T122" s="92"/>
      <c r="U122" s="92"/>
      <c r="V122" s="92"/>
      <c r="W122" s="92"/>
      <c r="X122" s="91"/>
    </row>
    <row r="123" spans="4:24" hidden="1" x14ac:dyDescent="0.2">
      <c r="D123" t="s">
        <v>1410</v>
      </c>
      <c r="E123">
        <v>2</v>
      </c>
      <c r="F123">
        <f>RDG!I24</f>
        <v>122</v>
      </c>
      <c r="G123" t="str">
        <f>IF(RDG!J24=0,"",RDG!J24)</f>
        <v/>
      </c>
      <c r="H123" s="49">
        <f t="shared" si="3"/>
        <v>143657440</v>
      </c>
      <c r="I123">
        <f t="shared" si="4"/>
        <v>0</v>
      </c>
      <c r="J123" s="90">
        <f>RDG!K24</f>
        <v>37092000</v>
      </c>
      <c r="K123" s="91">
        <f>RDG!L24</f>
        <v>40330000</v>
      </c>
      <c r="L123" s="90"/>
      <c r="M123" s="92"/>
      <c r="N123" s="92"/>
      <c r="O123" s="92"/>
      <c r="P123" s="92"/>
      <c r="Q123" s="92"/>
      <c r="R123" s="92"/>
      <c r="S123" s="92"/>
      <c r="T123" s="92"/>
      <c r="U123" s="92"/>
      <c r="V123" s="92"/>
      <c r="W123" s="92"/>
      <c r="X123" s="91"/>
    </row>
    <row r="124" spans="4:24" hidden="1" x14ac:dyDescent="0.2">
      <c r="D124" t="s">
        <v>1410</v>
      </c>
      <c r="E124">
        <v>2</v>
      </c>
      <c r="F124">
        <f>RDG!I25</f>
        <v>123</v>
      </c>
      <c r="G124" t="str">
        <f>IF(RDG!J25=0,"",RDG!J25)</f>
        <v/>
      </c>
      <c r="H124" s="49">
        <f t="shared" si="3"/>
        <v>140025660</v>
      </c>
      <c r="I124">
        <f t="shared" si="4"/>
        <v>0</v>
      </c>
      <c r="J124" s="90">
        <f>RDG!K25</f>
        <v>36296000</v>
      </c>
      <c r="K124" s="91">
        <f>RDG!L25</f>
        <v>38773000</v>
      </c>
      <c r="L124" s="90"/>
      <c r="M124" s="92"/>
      <c r="N124" s="92"/>
      <c r="O124" s="92"/>
      <c r="P124" s="92"/>
      <c r="Q124" s="92"/>
      <c r="R124" s="92"/>
      <c r="S124" s="92"/>
      <c r="T124" s="92"/>
      <c r="U124" s="92"/>
      <c r="V124" s="92"/>
      <c r="W124" s="92"/>
      <c r="X124" s="91"/>
    </row>
    <row r="125" spans="4:24" hidden="1" x14ac:dyDescent="0.2">
      <c r="D125" t="s">
        <v>1410</v>
      </c>
      <c r="E125">
        <v>2</v>
      </c>
      <c r="F125">
        <f>RDG!I26</f>
        <v>124</v>
      </c>
      <c r="G125" t="str">
        <f>IF(RDG!J26=0,"",RDG!J26)</f>
        <v/>
      </c>
      <c r="H125" s="49">
        <f t="shared" si="3"/>
        <v>14830400</v>
      </c>
      <c r="I125">
        <f t="shared" si="4"/>
        <v>0</v>
      </c>
      <c r="J125" s="90">
        <f>RDG!K26</f>
        <v>2688000</v>
      </c>
      <c r="K125" s="91">
        <f>RDG!L26</f>
        <v>4636000</v>
      </c>
      <c r="L125" s="90"/>
      <c r="M125" s="92"/>
      <c r="N125" s="92"/>
      <c r="O125" s="92"/>
      <c r="P125" s="92"/>
      <c r="Q125" s="92"/>
      <c r="R125" s="92"/>
      <c r="S125" s="92"/>
      <c r="T125" s="92"/>
      <c r="U125" s="92"/>
      <c r="V125" s="92"/>
      <c r="W125" s="92"/>
      <c r="X125" s="91"/>
    </row>
    <row r="126" spans="4:24" hidden="1" x14ac:dyDescent="0.2">
      <c r="D126" t="s">
        <v>1410</v>
      </c>
      <c r="E126">
        <v>2</v>
      </c>
      <c r="F126">
        <f>RDG!I27</f>
        <v>125</v>
      </c>
      <c r="G126" t="str">
        <f>IF(RDG!J27=0,"",RDG!J27)</f>
        <v/>
      </c>
      <c r="H126" s="49">
        <f t="shared" si="3"/>
        <v>0</v>
      </c>
      <c r="I126">
        <f t="shared" si="4"/>
        <v>0</v>
      </c>
      <c r="J126" s="90">
        <f>RDG!K27</f>
        <v>0</v>
      </c>
      <c r="K126" s="91">
        <f>RDG!L27</f>
        <v>0</v>
      </c>
      <c r="L126" s="90"/>
      <c r="M126" s="92"/>
      <c r="N126" s="92"/>
      <c r="O126" s="92"/>
      <c r="P126" s="92"/>
      <c r="Q126" s="92"/>
      <c r="R126" s="92"/>
      <c r="S126" s="92"/>
      <c r="T126" s="92"/>
      <c r="U126" s="92"/>
      <c r="V126" s="92"/>
      <c r="W126" s="92"/>
      <c r="X126" s="91"/>
    </row>
    <row r="127" spans="4:24" hidden="1" x14ac:dyDescent="0.2">
      <c r="D127" t="s">
        <v>1410</v>
      </c>
      <c r="E127">
        <v>2</v>
      </c>
      <c r="F127">
        <f>RDG!I28</f>
        <v>126</v>
      </c>
      <c r="G127" t="str">
        <f>IF(RDG!J28=0,"",RDG!J28)</f>
        <v/>
      </c>
      <c r="H127" s="49">
        <f t="shared" si="3"/>
        <v>15069600</v>
      </c>
      <c r="I127">
        <f t="shared" si="4"/>
        <v>0</v>
      </c>
      <c r="J127" s="90">
        <f>RDG!K28</f>
        <v>2688000</v>
      </c>
      <c r="K127" s="91">
        <f>RDG!L28</f>
        <v>4636000</v>
      </c>
      <c r="L127" s="90"/>
      <c r="M127" s="92"/>
      <c r="N127" s="92"/>
      <c r="O127" s="92"/>
      <c r="P127" s="92"/>
      <c r="Q127" s="92"/>
      <c r="R127" s="92"/>
      <c r="S127" s="92"/>
      <c r="T127" s="92"/>
      <c r="U127" s="92"/>
      <c r="V127" s="92"/>
      <c r="W127" s="92"/>
      <c r="X127" s="91"/>
    </row>
    <row r="128" spans="4:24" hidden="1" x14ac:dyDescent="0.2">
      <c r="D128" t="s">
        <v>1410</v>
      </c>
      <c r="E128">
        <v>2</v>
      </c>
      <c r="F128">
        <f>RDG!I29</f>
        <v>127</v>
      </c>
      <c r="G128" t="str">
        <f>IF(RDG!J29=0,"",RDG!J29)</f>
        <v/>
      </c>
      <c r="H128" s="49">
        <f t="shared" si="3"/>
        <v>129721610</v>
      </c>
      <c r="I128">
        <f t="shared" si="4"/>
        <v>0</v>
      </c>
      <c r="J128" s="90">
        <f>RDG!K29</f>
        <v>32751000</v>
      </c>
      <c r="K128" s="91">
        <f>RDG!L29</f>
        <v>34696000</v>
      </c>
      <c r="L128" s="90"/>
      <c r="M128" s="92"/>
      <c r="N128" s="92"/>
      <c r="O128" s="92"/>
      <c r="P128" s="92"/>
      <c r="Q128" s="92"/>
      <c r="R128" s="92"/>
      <c r="S128" s="92"/>
      <c r="T128" s="92"/>
      <c r="U128" s="92"/>
      <c r="V128" s="92"/>
      <c r="W128" s="92"/>
      <c r="X128" s="91"/>
    </row>
    <row r="129" spans="4:24" hidden="1" x14ac:dyDescent="0.2">
      <c r="D129" t="s">
        <v>1410</v>
      </c>
      <c r="E129">
        <v>2</v>
      </c>
      <c r="F129">
        <f>RDG!I30</f>
        <v>128</v>
      </c>
      <c r="G129" t="str">
        <f>IF(RDG!J30=0,"",RDG!J30)</f>
        <v/>
      </c>
      <c r="H129" s="49">
        <f t="shared" si="3"/>
        <v>63658240</v>
      </c>
      <c r="I129">
        <f t="shared" si="4"/>
        <v>0</v>
      </c>
      <c r="J129" s="90">
        <f>RDG!K30</f>
        <v>17229000</v>
      </c>
      <c r="K129" s="91">
        <f>RDG!L30</f>
        <v>16252000</v>
      </c>
      <c r="L129" s="90"/>
      <c r="M129" s="92"/>
      <c r="N129" s="92"/>
      <c r="O129" s="92"/>
      <c r="P129" s="92"/>
      <c r="Q129" s="92"/>
      <c r="R129" s="92"/>
      <c r="S129" s="92"/>
      <c r="T129" s="92"/>
      <c r="U129" s="92"/>
      <c r="V129" s="92"/>
      <c r="W129" s="92"/>
      <c r="X129" s="91"/>
    </row>
    <row r="130" spans="4:24" hidden="1" x14ac:dyDescent="0.2">
      <c r="D130" t="s">
        <v>1410</v>
      </c>
      <c r="E130">
        <v>2</v>
      </c>
      <c r="F130">
        <f>RDG!I31</f>
        <v>129</v>
      </c>
      <c r="G130" t="str">
        <f>IF(RDG!J31=0,"",RDG!J31)</f>
        <v/>
      </c>
      <c r="H130" s="49">
        <f t="shared" ref="H130:H193" si="6">J130/100*F130+2*K130/100*F130</f>
        <v>57510780</v>
      </c>
      <c r="I130">
        <f t="shared" si="4"/>
        <v>0</v>
      </c>
      <c r="J130" s="90">
        <f>RDG!K31</f>
        <v>11658000</v>
      </c>
      <c r="K130" s="91">
        <f>RDG!L31</f>
        <v>16462000</v>
      </c>
      <c r="L130" s="90"/>
      <c r="M130" s="92"/>
      <c r="N130" s="92"/>
      <c r="O130" s="92"/>
      <c r="P130" s="92"/>
      <c r="Q130" s="92"/>
      <c r="R130" s="92"/>
      <c r="S130" s="92"/>
      <c r="T130" s="92"/>
      <c r="U130" s="92"/>
      <c r="V130" s="92"/>
      <c r="W130" s="92"/>
      <c r="X130" s="91"/>
    </row>
    <row r="131" spans="4:24" hidden="1" x14ac:dyDescent="0.2">
      <c r="D131" t="s">
        <v>1410</v>
      </c>
      <c r="E131">
        <v>2</v>
      </c>
      <c r="F131">
        <f>RDG!I32</f>
        <v>130</v>
      </c>
      <c r="G131" t="str">
        <f>IF(RDG!J32=0,"",RDG!J32)</f>
        <v/>
      </c>
      <c r="H131" s="49">
        <f t="shared" si="6"/>
        <v>0</v>
      </c>
      <c r="I131">
        <f t="shared" ref="I131:I194" si="7">ABS(ROUND(J131,0)-J131)+ABS(ROUND(K131,0)-K131)</f>
        <v>0</v>
      </c>
      <c r="J131" s="90">
        <f>RDG!K32</f>
        <v>0</v>
      </c>
      <c r="K131" s="91">
        <f>RDG!L32</f>
        <v>0</v>
      </c>
      <c r="L131" s="90"/>
      <c r="M131" s="92"/>
      <c r="N131" s="92"/>
      <c r="O131" s="92"/>
      <c r="P131" s="92"/>
      <c r="Q131" s="92"/>
      <c r="R131" s="92"/>
      <c r="S131" s="92"/>
      <c r="T131" s="92"/>
      <c r="U131" s="92"/>
      <c r="V131" s="92"/>
      <c r="W131" s="92"/>
      <c r="X131" s="91"/>
    </row>
    <row r="132" spans="4:24" hidden="1" x14ac:dyDescent="0.2">
      <c r="D132" t="s">
        <v>1410</v>
      </c>
      <c r="E132">
        <v>2</v>
      </c>
      <c r="F132">
        <f>RDG!I33</f>
        <v>131</v>
      </c>
      <c r="G132" t="str">
        <f>IF(RDG!J33=0,"",RDG!J33)</f>
        <v/>
      </c>
      <c r="H132" s="49">
        <f t="shared" si="6"/>
        <v>58275350</v>
      </c>
      <c r="I132">
        <f t="shared" si="7"/>
        <v>0</v>
      </c>
      <c r="J132" s="90">
        <f>RDG!K33</f>
        <v>11657000</v>
      </c>
      <c r="K132" s="91">
        <f>RDG!L33</f>
        <v>16414000</v>
      </c>
      <c r="L132" s="90"/>
      <c r="M132" s="92"/>
      <c r="N132" s="92"/>
      <c r="O132" s="92"/>
      <c r="P132" s="92"/>
      <c r="Q132" s="92"/>
      <c r="R132" s="92"/>
      <c r="S132" s="92"/>
      <c r="T132" s="92"/>
      <c r="U132" s="92"/>
      <c r="V132" s="92"/>
      <c r="W132" s="92"/>
      <c r="X132" s="91"/>
    </row>
    <row r="133" spans="4:24" hidden="1" x14ac:dyDescent="0.2">
      <c r="D133" t="s">
        <v>1410</v>
      </c>
      <c r="E133">
        <v>2</v>
      </c>
      <c r="F133">
        <f>RDG!I34</f>
        <v>132</v>
      </c>
      <c r="G133" t="str">
        <f>IF(RDG!J34=0,"",RDG!J34)</f>
        <v/>
      </c>
      <c r="H133" s="49">
        <f t="shared" si="6"/>
        <v>0</v>
      </c>
      <c r="I133">
        <f t="shared" si="7"/>
        <v>0</v>
      </c>
      <c r="J133" s="90">
        <f>RDG!K34</f>
        <v>0</v>
      </c>
      <c r="K133" s="91">
        <f>RDG!L34</f>
        <v>0</v>
      </c>
      <c r="L133" s="90"/>
      <c r="M133" s="92"/>
      <c r="N133" s="92"/>
      <c r="O133" s="92"/>
      <c r="P133" s="92"/>
      <c r="Q133" s="92"/>
      <c r="R133" s="92"/>
      <c r="S133" s="92"/>
      <c r="T133" s="92"/>
      <c r="U133" s="92"/>
      <c r="V133" s="92"/>
      <c r="W133" s="92"/>
      <c r="X133" s="91"/>
    </row>
    <row r="134" spans="4:24" hidden="1" x14ac:dyDescent="0.2">
      <c r="D134" t="s">
        <v>1410</v>
      </c>
      <c r="E134">
        <v>2</v>
      </c>
      <c r="F134">
        <f>RDG!I35</f>
        <v>133</v>
      </c>
      <c r="G134" t="str">
        <f>IF(RDG!J35=0,"",RDG!J35)</f>
        <v/>
      </c>
      <c r="H134" s="49">
        <f t="shared" si="6"/>
        <v>0</v>
      </c>
      <c r="I134">
        <f t="shared" si="7"/>
        <v>0</v>
      </c>
      <c r="J134" s="90">
        <f>RDG!K35</f>
        <v>0</v>
      </c>
      <c r="K134" s="91">
        <f>RDG!L35</f>
        <v>0</v>
      </c>
      <c r="L134" s="90"/>
      <c r="M134" s="92"/>
      <c r="N134" s="92"/>
      <c r="O134" s="92"/>
      <c r="P134" s="92"/>
      <c r="Q134" s="92"/>
      <c r="R134" s="92"/>
      <c r="S134" s="92"/>
      <c r="T134" s="92"/>
      <c r="U134" s="92"/>
      <c r="V134" s="92"/>
      <c r="W134" s="92"/>
      <c r="X134" s="91"/>
    </row>
    <row r="135" spans="4:24" hidden="1" x14ac:dyDescent="0.2">
      <c r="D135" t="s">
        <v>1410</v>
      </c>
      <c r="E135">
        <v>2</v>
      </c>
      <c r="F135">
        <f>RDG!I36</f>
        <v>134</v>
      </c>
      <c r="G135" t="str">
        <f>IF(RDG!J36=0,"",RDG!J36)</f>
        <v/>
      </c>
      <c r="H135" s="49">
        <f t="shared" si="6"/>
        <v>129980</v>
      </c>
      <c r="I135">
        <f t="shared" si="7"/>
        <v>0</v>
      </c>
      <c r="J135" s="90">
        <f>RDG!K36</f>
        <v>1000</v>
      </c>
      <c r="K135" s="91">
        <f>RDG!L36</f>
        <v>48000</v>
      </c>
      <c r="L135" s="90"/>
      <c r="M135" s="92"/>
      <c r="N135" s="92"/>
      <c r="O135" s="92"/>
      <c r="P135" s="92"/>
      <c r="Q135" s="92"/>
      <c r="R135" s="92"/>
      <c r="S135" s="92"/>
      <c r="T135" s="92"/>
      <c r="U135" s="92"/>
      <c r="V135" s="92"/>
      <c r="W135" s="92"/>
      <c r="X135" s="91"/>
    </row>
    <row r="136" spans="4:24" hidden="1" x14ac:dyDescent="0.2">
      <c r="D136" t="s">
        <v>1410</v>
      </c>
      <c r="E136">
        <v>2</v>
      </c>
      <c r="F136">
        <f>RDG!I37</f>
        <v>135</v>
      </c>
      <c r="G136" t="str">
        <f>IF(RDG!J37=0,"",RDG!J37)</f>
        <v/>
      </c>
      <c r="H136" s="49">
        <f t="shared" si="6"/>
        <v>193106700</v>
      </c>
      <c r="I136">
        <f t="shared" si="7"/>
        <v>0</v>
      </c>
      <c r="J136" s="90">
        <f>RDG!K37</f>
        <v>21546000</v>
      </c>
      <c r="K136" s="91">
        <f>RDG!L37</f>
        <v>60748000</v>
      </c>
      <c r="L136" s="90"/>
      <c r="M136" s="92"/>
      <c r="N136" s="92"/>
      <c r="O136" s="92"/>
      <c r="P136" s="92"/>
      <c r="Q136" s="92"/>
      <c r="R136" s="92"/>
      <c r="S136" s="92"/>
      <c r="T136" s="92"/>
      <c r="U136" s="92"/>
      <c r="V136" s="92"/>
      <c r="W136" s="92"/>
      <c r="X136" s="91"/>
    </row>
    <row r="137" spans="4:24" hidden="1" x14ac:dyDescent="0.2">
      <c r="D137" t="s">
        <v>1410</v>
      </c>
      <c r="E137">
        <v>2</v>
      </c>
      <c r="F137">
        <f>RDG!I38</f>
        <v>136</v>
      </c>
      <c r="G137" t="str">
        <f>IF(RDG!J38=0,"",RDG!J38)</f>
        <v/>
      </c>
      <c r="H137" s="49">
        <f t="shared" si="6"/>
        <v>0</v>
      </c>
      <c r="I137">
        <f t="shared" si="7"/>
        <v>0</v>
      </c>
      <c r="J137" s="90">
        <f>RDG!K38</f>
        <v>0</v>
      </c>
      <c r="K137" s="91">
        <f>RDG!L38</f>
        <v>0</v>
      </c>
      <c r="L137" s="90"/>
      <c r="M137" s="92"/>
      <c r="N137" s="92"/>
      <c r="O137" s="92"/>
      <c r="P137" s="92"/>
      <c r="Q137" s="92"/>
      <c r="R137" s="92"/>
      <c r="S137" s="92"/>
      <c r="T137" s="92"/>
      <c r="U137" s="92"/>
      <c r="V137" s="92"/>
      <c r="W137" s="92"/>
      <c r="X137" s="91"/>
    </row>
    <row r="138" spans="4:24" hidden="1" x14ac:dyDescent="0.2">
      <c r="D138" t="s">
        <v>1410</v>
      </c>
      <c r="E138">
        <v>2</v>
      </c>
      <c r="F138">
        <f>RDG!I39</f>
        <v>137</v>
      </c>
      <c r="G138" t="str">
        <f>IF(RDG!J39=0,"",RDG!J39)</f>
        <v/>
      </c>
      <c r="H138" s="49">
        <f t="shared" si="6"/>
        <v>192711050</v>
      </c>
      <c r="I138">
        <f t="shared" si="7"/>
        <v>0</v>
      </c>
      <c r="J138" s="90">
        <f>RDG!K39</f>
        <v>21459000</v>
      </c>
      <c r="K138" s="91">
        <f>RDG!L39</f>
        <v>59603000</v>
      </c>
      <c r="L138" s="90"/>
      <c r="M138" s="92"/>
      <c r="N138" s="92"/>
      <c r="O138" s="92"/>
      <c r="P138" s="92"/>
      <c r="Q138" s="92"/>
      <c r="R138" s="92"/>
      <c r="S138" s="92"/>
      <c r="T138" s="92"/>
      <c r="U138" s="92"/>
      <c r="V138" s="92"/>
      <c r="W138" s="92"/>
      <c r="X138" s="91"/>
    </row>
    <row r="139" spans="4:24" hidden="1" x14ac:dyDescent="0.2">
      <c r="D139" t="s">
        <v>1410</v>
      </c>
      <c r="E139">
        <v>2</v>
      </c>
      <c r="F139">
        <f>RDG!I40</f>
        <v>138</v>
      </c>
      <c r="G139" t="str">
        <f>IF(RDG!J40=0,"",RDG!J40)</f>
        <v/>
      </c>
      <c r="H139" s="49">
        <f t="shared" si="6"/>
        <v>3222300</v>
      </c>
      <c r="I139">
        <f t="shared" si="7"/>
        <v>0</v>
      </c>
      <c r="J139" s="90">
        <f>RDG!K40</f>
        <v>87000</v>
      </c>
      <c r="K139" s="91">
        <f>RDG!L40</f>
        <v>1124000</v>
      </c>
      <c r="L139" s="90"/>
      <c r="M139" s="92"/>
      <c r="N139" s="92"/>
      <c r="O139" s="92"/>
      <c r="P139" s="92"/>
      <c r="Q139" s="92"/>
      <c r="R139" s="92"/>
      <c r="S139" s="92"/>
      <c r="T139" s="92"/>
      <c r="U139" s="92"/>
      <c r="V139" s="92"/>
      <c r="W139" s="92"/>
      <c r="X139" s="91"/>
    </row>
    <row r="140" spans="4:24" hidden="1" x14ac:dyDescent="0.2">
      <c r="D140" t="s">
        <v>1410</v>
      </c>
      <c r="E140">
        <v>2</v>
      </c>
      <c r="F140">
        <f>RDG!I41</f>
        <v>139</v>
      </c>
      <c r="G140" t="str">
        <f>IF(RDG!J41=0,"",RDG!J41)</f>
        <v/>
      </c>
      <c r="H140" s="49">
        <f t="shared" si="6"/>
        <v>58380</v>
      </c>
      <c r="I140">
        <f t="shared" si="7"/>
        <v>0</v>
      </c>
      <c r="J140" s="90">
        <f>RDG!K41</f>
        <v>0</v>
      </c>
      <c r="K140" s="91">
        <f>RDG!L41</f>
        <v>21000</v>
      </c>
      <c r="L140" s="90"/>
      <c r="M140" s="92"/>
      <c r="N140" s="92"/>
      <c r="O140" s="92"/>
      <c r="P140" s="92"/>
      <c r="Q140" s="92"/>
      <c r="R140" s="92"/>
      <c r="S140" s="92"/>
      <c r="T140" s="92"/>
      <c r="U140" s="92"/>
      <c r="V140" s="92"/>
      <c r="W140" s="92"/>
      <c r="X140" s="91"/>
    </row>
    <row r="141" spans="4:24" hidden="1" x14ac:dyDescent="0.2">
      <c r="D141" t="s">
        <v>1410</v>
      </c>
      <c r="E141">
        <v>2</v>
      </c>
      <c r="F141">
        <f>RDG!I42</f>
        <v>140</v>
      </c>
      <c r="G141" t="str">
        <f>IF(RDG!J42=0,"",RDG!J42)</f>
        <v/>
      </c>
      <c r="H141" s="49">
        <f t="shared" si="6"/>
        <v>0</v>
      </c>
      <c r="I141">
        <f t="shared" si="7"/>
        <v>0</v>
      </c>
      <c r="J141" s="90">
        <f>RDG!K42</f>
        <v>0</v>
      </c>
      <c r="K141" s="91">
        <f>RDG!L42</f>
        <v>0</v>
      </c>
      <c r="L141" s="90"/>
      <c r="M141" s="92"/>
      <c r="N141" s="92"/>
      <c r="O141" s="92"/>
      <c r="P141" s="92"/>
      <c r="Q141" s="92"/>
      <c r="R141" s="92"/>
      <c r="S141" s="92"/>
      <c r="T141" s="92"/>
      <c r="U141" s="92"/>
      <c r="V141" s="92"/>
      <c r="W141" s="92"/>
      <c r="X141" s="91"/>
    </row>
    <row r="142" spans="4:24" hidden="1" x14ac:dyDescent="0.2">
      <c r="D142" t="s">
        <v>1410</v>
      </c>
      <c r="E142">
        <v>2</v>
      </c>
      <c r="F142">
        <f>RDG!I43</f>
        <v>141</v>
      </c>
      <c r="G142" t="str">
        <f>IF(RDG!J43=0,"",RDG!J43)</f>
        <v/>
      </c>
      <c r="H142" s="49">
        <f t="shared" si="6"/>
        <v>0</v>
      </c>
      <c r="I142">
        <f t="shared" si="7"/>
        <v>0</v>
      </c>
      <c r="J142" s="90">
        <f>RDG!K43</f>
        <v>0</v>
      </c>
      <c r="K142" s="91">
        <f>RDG!L43</f>
        <v>0</v>
      </c>
      <c r="L142" s="90"/>
      <c r="M142" s="92"/>
      <c r="N142" s="92"/>
      <c r="O142" s="92"/>
      <c r="P142" s="92"/>
      <c r="Q142" s="92"/>
      <c r="R142" s="92"/>
      <c r="S142" s="92"/>
      <c r="T142" s="92"/>
      <c r="U142" s="92"/>
      <c r="V142" s="92"/>
      <c r="W142" s="92"/>
      <c r="X142" s="91"/>
    </row>
    <row r="143" spans="4:24" hidden="1" x14ac:dyDescent="0.2">
      <c r="D143" t="s">
        <v>1410</v>
      </c>
      <c r="E143">
        <v>2</v>
      </c>
      <c r="F143">
        <f>RDG!I44</f>
        <v>142</v>
      </c>
      <c r="G143" t="str">
        <f>IF(RDG!J44=0,"",RDG!J44)</f>
        <v/>
      </c>
      <c r="H143" s="49">
        <f t="shared" si="6"/>
        <v>3634126480</v>
      </c>
      <c r="I143">
        <f t="shared" si="7"/>
        <v>0</v>
      </c>
      <c r="J143" s="90">
        <f>RDG!K44</f>
        <v>833138000</v>
      </c>
      <c r="K143" s="91">
        <f>RDG!L44</f>
        <v>863053000</v>
      </c>
      <c r="L143" s="90"/>
      <c r="M143" s="92"/>
      <c r="N143" s="92"/>
      <c r="O143" s="92"/>
      <c r="P143" s="92"/>
      <c r="Q143" s="92"/>
      <c r="R143" s="92"/>
      <c r="S143" s="92"/>
      <c r="T143" s="92"/>
      <c r="U143" s="92"/>
      <c r="V143" s="92"/>
      <c r="W143" s="92"/>
      <c r="X143" s="91"/>
    </row>
    <row r="144" spans="4:24" hidden="1" x14ac:dyDescent="0.2">
      <c r="D144" t="s">
        <v>1410</v>
      </c>
      <c r="E144">
        <v>2</v>
      </c>
      <c r="F144">
        <f>RDG!I45</f>
        <v>143</v>
      </c>
      <c r="G144" t="str">
        <f>IF(RDG!J45=0,"",RDG!J45)</f>
        <v/>
      </c>
      <c r="H144" s="49">
        <f t="shared" si="6"/>
        <v>3605732130</v>
      </c>
      <c r="I144">
        <f t="shared" si="7"/>
        <v>0</v>
      </c>
      <c r="J144" s="90">
        <f>RDG!K45</f>
        <v>812795000</v>
      </c>
      <c r="K144" s="91">
        <f>RDG!L45</f>
        <v>854348000</v>
      </c>
      <c r="L144" s="90"/>
      <c r="M144" s="92"/>
      <c r="N144" s="92"/>
      <c r="O144" s="92"/>
      <c r="P144" s="92"/>
      <c r="Q144" s="92"/>
      <c r="R144" s="92"/>
      <c r="S144" s="92"/>
      <c r="T144" s="92"/>
      <c r="U144" s="92"/>
      <c r="V144" s="92"/>
      <c r="W144" s="92"/>
      <c r="X144" s="91"/>
    </row>
    <row r="145" spans="4:24" hidden="1" x14ac:dyDescent="0.2">
      <c r="D145" t="s">
        <v>1410</v>
      </c>
      <c r="E145">
        <v>2</v>
      </c>
      <c r="F145">
        <f>RDG!I46</f>
        <v>144</v>
      </c>
      <c r="G145" t="str">
        <f>IF(RDG!J46=0,"",RDG!J46)</f>
        <v/>
      </c>
      <c r="H145" s="49">
        <f t="shared" si="6"/>
        <v>54364320</v>
      </c>
      <c r="I145">
        <f t="shared" si="7"/>
        <v>0</v>
      </c>
      <c r="J145" s="90">
        <f>RDG!K46</f>
        <v>20343000</v>
      </c>
      <c r="K145" s="91">
        <f>RDG!L46</f>
        <v>8705000</v>
      </c>
      <c r="L145" s="90"/>
      <c r="M145" s="92"/>
      <c r="N145" s="92"/>
      <c r="O145" s="92"/>
      <c r="P145" s="92"/>
      <c r="Q145" s="92"/>
      <c r="R145" s="92"/>
      <c r="S145" s="92"/>
      <c r="T145" s="92"/>
      <c r="U145" s="92"/>
      <c r="V145" s="92"/>
      <c r="W145" s="92"/>
      <c r="X145" s="91"/>
    </row>
    <row r="146" spans="4:24" hidden="1" x14ac:dyDescent="0.2">
      <c r="D146" t="s">
        <v>1410</v>
      </c>
      <c r="E146">
        <v>2</v>
      </c>
      <c r="F146">
        <f>RDG!I47</f>
        <v>145</v>
      </c>
      <c r="G146" t="str">
        <f>IF(RDG!J47=0,"",RDG!J47)</f>
        <v/>
      </c>
      <c r="H146" s="49">
        <f t="shared" si="6"/>
        <v>0</v>
      </c>
      <c r="I146">
        <f t="shared" si="7"/>
        <v>0</v>
      </c>
      <c r="J146" s="90">
        <f>RDG!K47</f>
        <v>0</v>
      </c>
      <c r="K146" s="91">
        <f>RDG!L47</f>
        <v>0</v>
      </c>
      <c r="L146" s="90"/>
      <c r="M146" s="92"/>
      <c r="N146" s="92"/>
      <c r="O146" s="92"/>
      <c r="P146" s="92"/>
      <c r="Q146" s="92"/>
      <c r="R146" s="92"/>
      <c r="S146" s="92"/>
      <c r="T146" s="92"/>
      <c r="U146" s="92"/>
      <c r="V146" s="92"/>
      <c r="W146" s="92"/>
      <c r="X146" s="91"/>
    </row>
    <row r="147" spans="4:24" hidden="1" x14ac:dyDescent="0.2">
      <c r="D147" t="s">
        <v>1410</v>
      </c>
      <c r="E147">
        <v>2</v>
      </c>
      <c r="F147">
        <f>RDG!I48</f>
        <v>146</v>
      </c>
      <c r="G147" t="str">
        <f>IF(RDG!J48=0,"",RDG!J48)</f>
        <v/>
      </c>
      <c r="H147" s="49">
        <f t="shared" si="6"/>
        <v>13248040</v>
      </c>
      <c r="I147">
        <f t="shared" si="7"/>
        <v>0</v>
      </c>
      <c r="J147" s="90">
        <f>RDG!K48</f>
        <v>4512000</v>
      </c>
      <c r="K147" s="91">
        <f>RDG!L48</f>
        <v>2281000</v>
      </c>
      <c r="L147" s="90"/>
      <c r="M147" s="92"/>
      <c r="N147" s="92"/>
      <c r="O147" s="92"/>
      <c r="P147" s="92"/>
      <c r="Q147" s="92"/>
      <c r="R147" s="92"/>
      <c r="S147" s="92"/>
      <c r="T147" s="92"/>
      <c r="U147" s="92"/>
      <c r="V147" s="92"/>
      <c r="W147" s="92"/>
      <c r="X147" s="91"/>
    </row>
    <row r="148" spans="4:24" hidden="1" x14ac:dyDescent="0.2">
      <c r="D148" t="s">
        <v>1410</v>
      </c>
      <c r="E148">
        <v>2</v>
      </c>
      <c r="F148">
        <f>RDG!I49</f>
        <v>147</v>
      </c>
      <c r="G148" t="str">
        <f>IF(RDG!J49=0,"",RDG!J49)</f>
        <v/>
      </c>
      <c r="H148" s="49">
        <f t="shared" si="6"/>
        <v>42158130</v>
      </c>
      <c r="I148">
        <f t="shared" si="7"/>
        <v>0</v>
      </c>
      <c r="J148" s="90">
        <f>RDG!K49</f>
        <v>15831000</v>
      </c>
      <c r="K148" s="91">
        <f>RDG!L49</f>
        <v>6424000</v>
      </c>
      <c r="L148" s="90"/>
      <c r="M148" s="92"/>
      <c r="N148" s="92"/>
      <c r="O148" s="92"/>
      <c r="P148" s="92"/>
      <c r="Q148" s="92"/>
      <c r="R148" s="92"/>
      <c r="S148" s="92"/>
      <c r="T148" s="92"/>
      <c r="U148" s="92"/>
      <c r="V148" s="92"/>
      <c r="W148" s="92"/>
      <c r="X148" s="91"/>
    </row>
    <row r="149" spans="4:24" hidden="1" x14ac:dyDescent="0.2">
      <c r="D149" t="s">
        <v>1410</v>
      </c>
      <c r="E149">
        <v>2</v>
      </c>
      <c r="F149">
        <f>RDG!I50</f>
        <v>148</v>
      </c>
      <c r="G149" t="str">
        <f>IF(RDG!J50=0,"",RDG!J50)</f>
        <v/>
      </c>
      <c r="H149" s="49">
        <f t="shared" si="6"/>
        <v>0</v>
      </c>
      <c r="I149">
        <f t="shared" si="7"/>
        <v>0</v>
      </c>
      <c r="J149" s="90">
        <f>RDG!K50</f>
        <v>0</v>
      </c>
      <c r="K149" s="91">
        <f>RDG!L50</f>
        <v>0</v>
      </c>
      <c r="L149" s="90"/>
      <c r="M149" s="92"/>
      <c r="N149" s="92"/>
      <c r="O149" s="92"/>
      <c r="P149" s="92"/>
      <c r="Q149" s="92"/>
      <c r="R149" s="92"/>
      <c r="S149" s="92"/>
      <c r="T149" s="92"/>
      <c r="U149" s="92"/>
      <c r="V149" s="92"/>
      <c r="W149" s="92"/>
      <c r="X149" s="91"/>
    </row>
    <row r="150" spans="4:24" hidden="1" x14ac:dyDescent="0.2">
      <c r="D150" t="s">
        <v>1410</v>
      </c>
      <c r="E150">
        <v>2</v>
      </c>
      <c r="F150">
        <f>RDG!I52</f>
        <v>149</v>
      </c>
      <c r="G150" t="str">
        <f>IF(RDG!J52=0,"",RDG!J52)</f>
        <v/>
      </c>
      <c r="H150" s="49">
        <f t="shared" si="6"/>
        <v>18478980</v>
      </c>
      <c r="I150">
        <f t="shared" si="7"/>
        <v>0</v>
      </c>
      <c r="J150" s="90">
        <f>RDG!K52</f>
        <v>0</v>
      </c>
      <c r="K150" s="91">
        <f>RDG!L52</f>
        <v>6201000</v>
      </c>
      <c r="L150" s="90"/>
      <c r="M150" s="92"/>
      <c r="N150" s="92"/>
      <c r="O150" s="92"/>
      <c r="P150" s="92"/>
      <c r="Q150" s="92"/>
      <c r="R150" s="92"/>
      <c r="S150" s="92"/>
      <c r="T150" s="92"/>
      <c r="U150" s="92"/>
      <c r="V150" s="92"/>
      <c r="W150" s="92"/>
      <c r="X150" s="91"/>
    </row>
    <row r="151" spans="4:24" hidden="1" x14ac:dyDescent="0.2">
      <c r="D151" t="s">
        <v>1410</v>
      </c>
      <c r="E151">
        <v>2</v>
      </c>
      <c r="F151">
        <f>RDG!I53</f>
        <v>150</v>
      </c>
      <c r="G151" t="str">
        <f>IF(RDG!J53=0,"",RDG!J53)</f>
        <v/>
      </c>
      <c r="H151" s="49">
        <f t="shared" si="6"/>
        <v>669000</v>
      </c>
      <c r="I151">
        <f t="shared" si="7"/>
        <v>0</v>
      </c>
      <c r="J151" s="90">
        <f>RDG!K53</f>
        <v>0</v>
      </c>
      <c r="K151" s="91">
        <f>RDG!L53</f>
        <v>223000</v>
      </c>
      <c r="L151" s="90"/>
      <c r="M151" s="92"/>
      <c r="N151" s="92"/>
      <c r="O151" s="92"/>
      <c r="P151" s="92"/>
      <c r="Q151" s="92"/>
      <c r="R151" s="92"/>
      <c r="S151" s="92"/>
      <c r="T151" s="92"/>
      <c r="U151" s="92"/>
      <c r="V151" s="92"/>
      <c r="W151" s="92"/>
      <c r="X151" s="91"/>
    </row>
    <row r="152" spans="4:24" hidden="1" x14ac:dyDescent="0.2">
      <c r="D152" t="s">
        <v>1410</v>
      </c>
      <c r="E152">
        <v>2</v>
      </c>
      <c r="F152">
        <f>RDG!I54</f>
        <v>151</v>
      </c>
      <c r="G152" t="str">
        <f>IF(RDG!J54=0,"",RDG!J54)</f>
        <v/>
      </c>
      <c r="H152" s="49">
        <f t="shared" si="6"/>
        <v>0</v>
      </c>
      <c r="I152">
        <f t="shared" si="7"/>
        <v>0</v>
      </c>
      <c r="J152" s="90">
        <f>RDG!K54</f>
        <v>0</v>
      </c>
      <c r="K152" s="91">
        <f>RDG!L54</f>
        <v>0</v>
      </c>
      <c r="L152" s="90"/>
      <c r="M152" s="92"/>
      <c r="N152" s="92"/>
      <c r="O152" s="92"/>
      <c r="P152" s="92"/>
      <c r="Q152" s="92"/>
      <c r="R152" s="92"/>
      <c r="S152" s="92"/>
      <c r="T152" s="92"/>
      <c r="U152" s="92"/>
      <c r="V152" s="92"/>
      <c r="W152" s="92"/>
      <c r="X152" s="91"/>
    </row>
    <row r="153" spans="4:24" hidden="1" x14ac:dyDescent="0.2">
      <c r="D153" t="s">
        <v>1410</v>
      </c>
      <c r="E153">
        <v>2</v>
      </c>
      <c r="F153">
        <f>RDG!I55</f>
        <v>152</v>
      </c>
      <c r="G153" t="str">
        <f>IF(RDG!J55=0,"",RDG!J55)</f>
        <v/>
      </c>
      <c r="H153" s="49">
        <f t="shared" si="6"/>
        <v>0</v>
      </c>
      <c r="I153">
        <f t="shared" si="7"/>
        <v>0</v>
      </c>
      <c r="J153" s="90">
        <f>RDG!K55</f>
        <v>0</v>
      </c>
      <c r="K153" s="91">
        <f>RDG!L55</f>
        <v>0</v>
      </c>
      <c r="L153" s="90"/>
      <c r="M153" s="92"/>
      <c r="N153" s="92"/>
      <c r="O153" s="92"/>
      <c r="P153" s="92"/>
      <c r="Q153" s="92"/>
      <c r="R153" s="92"/>
      <c r="S153" s="92"/>
      <c r="T153" s="92"/>
      <c r="U153" s="92"/>
      <c r="V153" s="92"/>
      <c r="W153" s="92"/>
      <c r="X153" s="91"/>
    </row>
    <row r="154" spans="4:24" hidden="1" x14ac:dyDescent="0.2">
      <c r="D154" t="s">
        <v>440</v>
      </c>
      <c r="E154">
        <v>3</v>
      </c>
      <c r="F154">
        <f>PodDop!J10</f>
        <v>153</v>
      </c>
      <c r="H154" s="49">
        <f t="shared" si="6"/>
        <v>0</v>
      </c>
      <c r="I154">
        <f t="shared" si="7"/>
        <v>0</v>
      </c>
      <c r="J154" s="90">
        <f>PodDop!K10</f>
        <v>0</v>
      </c>
      <c r="K154" s="91">
        <f>PodDop!L10</f>
        <v>0</v>
      </c>
      <c r="L154" s="90"/>
      <c r="M154" s="92"/>
      <c r="N154" s="92"/>
      <c r="O154" s="92"/>
      <c r="P154" s="92"/>
      <c r="Q154" s="92"/>
      <c r="R154" s="92"/>
      <c r="S154" s="92"/>
      <c r="T154" s="92"/>
      <c r="U154" s="92"/>
      <c r="V154" s="92"/>
      <c r="W154" s="92"/>
      <c r="X154" s="91"/>
    </row>
    <row r="155" spans="4:24" hidden="1" x14ac:dyDescent="0.2">
      <c r="D155" t="s">
        <v>440</v>
      </c>
      <c r="E155">
        <v>3</v>
      </c>
      <c r="F155">
        <f>PodDop!J11</f>
        <v>154</v>
      </c>
      <c r="H155" s="49">
        <f t="shared" si="6"/>
        <v>0</v>
      </c>
      <c r="I155">
        <f t="shared" si="7"/>
        <v>0</v>
      </c>
      <c r="J155" s="90">
        <f>PodDop!K11</f>
        <v>0</v>
      </c>
      <c r="K155" s="91">
        <f>PodDop!L11</f>
        <v>0</v>
      </c>
      <c r="L155" s="90"/>
      <c r="M155" s="92"/>
      <c r="N155" s="92"/>
      <c r="O155" s="92"/>
      <c r="P155" s="92"/>
      <c r="Q155" s="92"/>
      <c r="R155" s="92"/>
      <c r="S155" s="92"/>
      <c r="T155" s="92"/>
      <c r="U155" s="92"/>
      <c r="V155" s="92"/>
      <c r="W155" s="92"/>
      <c r="X155" s="91"/>
    </row>
    <row r="156" spans="4:24" hidden="1" x14ac:dyDescent="0.2">
      <c r="D156" t="s">
        <v>440</v>
      </c>
      <c r="E156">
        <v>3</v>
      </c>
      <c r="F156">
        <f>PodDop!J12</f>
        <v>155</v>
      </c>
      <c r="H156" s="49">
        <f t="shared" si="6"/>
        <v>0</v>
      </c>
      <c r="I156">
        <f t="shared" si="7"/>
        <v>0</v>
      </c>
      <c r="J156" s="90">
        <f>PodDop!K12</f>
        <v>0</v>
      </c>
      <c r="K156" s="91">
        <f>PodDop!L12</f>
        <v>0</v>
      </c>
      <c r="L156" s="90"/>
      <c r="M156" s="92"/>
      <c r="N156" s="92"/>
      <c r="O156" s="92"/>
      <c r="P156" s="92"/>
      <c r="Q156" s="92"/>
      <c r="R156" s="92"/>
      <c r="S156" s="92"/>
      <c r="T156" s="92"/>
      <c r="U156" s="92"/>
      <c r="V156" s="92"/>
      <c r="W156" s="92"/>
      <c r="X156" s="91"/>
    </row>
    <row r="157" spans="4:24" hidden="1" x14ac:dyDescent="0.2">
      <c r="D157" t="s">
        <v>440</v>
      </c>
      <c r="E157">
        <v>3</v>
      </c>
      <c r="F157">
        <f>PodDop!J13</f>
        <v>156</v>
      </c>
      <c r="H157" s="49">
        <f t="shared" si="6"/>
        <v>0</v>
      </c>
      <c r="I157">
        <f t="shared" si="7"/>
        <v>0</v>
      </c>
      <c r="J157" s="90">
        <f>PodDop!K13</f>
        <v>0</v>
      </c>
      <c r="K157" s="91">
        <f>PodDop!L13</f>
        <v>0</v>
      </c>
      <c r="L157" s="90"/>
      <c r="M157" s="92"/>
      <c r="N157" s="92"/>
      <c r="O157" s="92"/>
      <c r="P157" s="92"/>
      <c r="Q157" s="92"/>
      <c r="R157" s="92"/>
      <c r="S157" s="92"/>
      <c r="T157" s="92"/>
      <c r="U157" s="92"/>
      <c r="V157" s="92"/>
      <c r="W157" s="92"/>
      <c r="X157" s="91"/>
    </row>
    <row r="158" spans="4:24" hidden="1" x14ac:dyDescent="0.2">
      <c r="D158" t="s">
        <v>440</v>
      </c>
      <c r="E158">
        <v>3</v>
      </c>
      <c r="F158">
        <f>PodDop!J14</f>
        <v>157</v>
      </c>
      <c r="H158" s="49">
        <f t="shared" si="6"/>
        <v>0</v>
      </c>
      <c r="I158">
        <f t="shared" si="7"/>
        <v>0</v>
      </c>
      <c r="J158" s="90">
        <f>PodDop!K14</f>
        <v>0</v>
      </c>
      <c r="K158" s="91">
        <f>PodDop!L14</f>
        <v>0</v>
      </c>
      <c r="L158" s="90"/>
      <c r="M158" s="92"/>
      <c r="N158" s="92"/>
      <c r="O158" s="92"/>
      <c r="P158" s="92"/>
      <c r="Q158" s="92"/>
      <c r="R158" s="92"/>
      <c r="S158" s="92"/>
      <c r="T158" s="92"/>
      <c r="U158" s="92"/>
      <c r="V158" s="92"/>
      <c r="W158" s="92"/>
      <c r="X158" s="91"/>
    </row>
    <row r="159" spans="4:24" hidden="1" x14ac:dyDescent="0.2">
      <c r="D159" t="s">
        <v>440</v>
      </c>
      <c r="E159">
        <v>3</v>
      </c>
      <c r="F159">
        <f>PodDop!J15</f>
        <v>158</v>
      </c>
      <c r="H159" s="49">
        <f t="shared" si="6"/>
        <v>0</v>
      </c>
      <c r="I159">
        <f t="shared" si="7"/>
        <v>0</v>
      </c>
      <c r="J159" s="90">
        <f>PodDop!K15</f>
        <v>0</v>
      </c>
      <c r="K159" s="91">
        <f>PodDop!L15</f>
        <v>0</v>
      </c>
      <c r="L159" s="90"/>
      <c r="M159" s="92"/>
      <c r="N159" s="92"/>
      <c r="O159" s="92"/>
      <c r="P159" s="92"/>
      <c r="Q159" s="92"/>
      <c r="R159" s="92"/>
      <c r="S159" s="92"/>
      <c r="T159" s="92"/>
      <c r="U159" s="92"/>
      <c r="V159" s="92"/>
      <c r="W159" s="92"/>
      <c r="X159" s="91"/>
    </row>
    <row r="160" spans="4:24" hidden="1" x14ac:dyDescent="0.2">
      <c r="D160" t="s">
        <v>440</v>
      </c>
      <c r="E160">
        <v>3</v>
      </c>
      <c r="F160">
        <f>PodDop!J16</f>
        <v>159</v>
      </c>
      <c r="H160" s="49">
        <f t="shared" si="6"/>
        <v>0</v>
      </c>
      <c r="I160">
        <f t="shared" si="7"/>
        <v>0</v>
      </c>
      <c r="J160" s="90">
        <f>PodDop!K16</f>
        <v>0</v>
      </c>
      <c r="K160" s="91">
        <f>PodDop!L16</f>
        <v>0</v>
      </c>
      <c r="L160" s="90"/>
      <c r="M160" s="92"/>
      <c r="N160" s="92"/>
      <c r="O160" s="92"/>
      <c r="P160" s="92"/>
      <c r="Q160" s="92"/>
      <c r="R160" s="92"/>
      <c r="S160" s="92"/>
      <c r="T160" s="92"/>
      <c r="U160" s="92"/>
      <c r="V160" s="92"/>
      <c r="W160" s="92"/>
      <c r="X160" s="91"/>
    </row>
    <row r="161" spans="4:24" hidden="1" x14ac:dyDescent="0.2">
      <c r="D161" t="s">
        <v>440</v>
      </c>
      <c r="E161">
        <v>3</v>
      </c>
      <c r="F161">
        <f>PodDop!J17</f>
        <v>160</v>
      </c>
      <c r="H161" s="49">
        <f t="shared" si="6"/>
        <v>0</v>
      </c>
      <c r="I161">
        <f t="shared" si="7"/>
        <v>0</v>
      </c>
      <c r="J161" s="90">
        <f>PodDop!K17</f>
        <v>0</v>
      </c>
      <c r="K161" s="91">
        <f>PodDop!L17</f>
        <v>0</v>
      </c>
      <c r="L161" s="90"/>
      <c r="M161" s="92"/>
      <c r="N161" s="92"/>
      <c r="O161" s="92"/>
      <c r="P161" s="92"/>
      <c r="Q161" s="92"/>
      <c r="R161" s="92"/>
      <c r="S161" s="92"/>
      <c r="T161" s="92"/>
      <c r="U161" s="92"/>
      <c r="V161" s="92"/>
      <c r="W161" s="92"/>
      <c r="X161" s="91"/>
    </row>
    <row r="162" spans="4:24" hidden="1" x14ac:dyDescent="0.2">
      <c r="D162" t="s">
        <v>440</v>
      </c>
      <c r="E162">
        <v>3</v>
      </c>
      <c r="F162">
        <f>PodDop!J18</f>
        <v>161</v>
      </c>
      <c r="H162" s="49">
        <f t="shared" si="6"/>
        <v>0</v>
      </c>
      <c r="I162">
        <f t="shared" si="7"/>
        <v>0</v>
      </c>
      <c r="J162" s="90">
        <f>PodDop!K18</f>
        <v>0</v>
      </c>
      <c r="K162" s="91">
        <f>PodDop!L18</f>
        <v>0</v>
      </c>
      <c r="L162" s="90"/>
      <c r="M162" s="92"/>
      <c r="N162" s="92"/>
      <c r="O162" s="92"/>
      <c r="P162" s="92"/>
      <c r="Q162" s="92"/>
      <c r="R162" s="92"/>
      <c r="S162" s="92"/>
      <c r="T162" s="92"/>
      <c r="U162" s="92"/>
      <c r="V162" s="92"/>
      <c r="W162" s="92"/>
      <c r="X162" s="91"/>
    </row>
    <row r="163" spans="4:24" hidden="1" x14ac:dyDescent="0.2">
      <c r="D163" t="s">
        <v>440</v>
      </c>
      <c r="E163">
        <v>3</v>
      </c>
      <c r="F163">
        <f>PodDop!J19</f>
        <v>162</v>
      </c>
      <c r="H163" s="49">
        <f t="shared" si="6"/>
        <v>0</v>
      </c>
      <c r="I163">
        <f t="shared" si="7"/>
        <v>0</v>
      </c>
      <c r="J163" s="90">
        <f>PodDop!K19</f>
        <v>0</v>
      </c>
      <c r="K163" s="91">
        <f>PodDop!L19</f>
        <v>0</v>
      </c>
      <c r="L163" s="90"/>
      <c r="M163" s="92"/>
      <c r="N163" s="92"/>
      <c r="O163" s="92"/>
      <c r="P163" s="92"/>
      <c r="Q163" s="92"/>
      <c r="R163" s="92"/>
      <c r="S163" s="92"/>
      <c r="T163" s="92"/>
      <c r="U163" s="92"/>
      <c r="V163" s="92"/>
      <c r="W163" s="92"/>
      <c r="X163" s="91"/>
    </row>
    <row r="164" spans="4:24" hidden="1" x14ac:dyDescent="0.2">
      <c r="D164" t="s">
        <v>440</v>
      </c>
      <c r="E164">
        <v>3</v>
      </c>
      <c r="F164">
        <f>PodDop!J20</f>
        <v>163</v>
      </c>
      <c r="H164" s="49">
        <f t="shared" si="6"/>
        <v>0</v>
      </c>
      <c r="I164">
        <f t="shared" si="7"/>
        <v>0</v>
      </c>
      <c r="J164" s="90">
        <f>PodDop!K20</f>
        <v>0</v>
      </c>
      <c r="K164" s="91">
        <f>PodDop!L20</f>
        <v>0</v>
      </c>
      <c r="L164" s="90"/>
      <c r="M164" s="92"/>
      <c r="N164" s="92"/>
      <c r="O164" s="92"/>
      <c r="P164" s="92"/>
      <c r="Q164" s="92"/>
      <c r="R164" s="92"/>
      <c r="S164" s="92"/>
      <c r="T164" s="92"/>
      <c r="U164" s="92"/>
      <c r="V164" s="92"/>
      <c r="W164" s="92"/>
      <c r="X164" s="91"/>
    </row>
    <row r="165" spans="4:24" hidden="1" x14ac:dyDescent="0.2">
      <c r="D165" t="s">
        <v>440</v>
      </c>
      <c r="E165">
        <v>3</v>
      </c>
      <c r="F165">
        <f>PodDop!J21</f>
        <v>164</v>
      </c>
      <c r="H165" s="49">
        <f t="shared" si="6"/>
        <v>0</v>
      </c>
      <c r="I165">
        <f t="shared" si="7"/>
        <v>0</v>
      </c>
      <c r="J165" s="90">
        <f>PodDop!K21</f>
        <v>0</v>
      </c>
      <c r="K165" s="91">
        <f>PodDop!L21</f>
        <v>0</v>
      </c>
      <c r="L165" s="90"/>
      <c r="M165" s="92"/>
      <c r="N165" s="92"/>
      <c r="O165" s="92"/>
      <c r="P165" s="92"/>
      <c r="Q165" s="92"/>
      <c r="R165" s="92"/>
      <c r="S165" s="92"/>
      <c r="T165" s="92"/>
      <c r="U165" s="92"/>
      <c r="V165" s="92"/>
      <c r="W165" s="92"/>
      <c r="X165" s="91"/>
    </row>
    <row r="166" spans="4:24" hidden="1" x14ac:dyDescent="0.2">
      <c r="D166" t="s">
        <v>440</v>
      </c>
      <c r="E166">
        <v>3</v>
      </c>
      <c r="F166">
        <f>PodDop!J22</f>
        <v>165</v>
      </c>
      <c r="H166" s="49">
        <f t="shared" si="6"/>
        <v>0</v>
      </c>
      <c r="I166">
        <f t="shared" si="7"/>
        <v>0</v>
      </c>
      <c r="J166" s="90">
        <f>PodDop!K22</f>
        <v>0</v>
      </c>
      <c r="K166" s="91">
        <f>PodDop!L22</f>
        <v>0</v>
      </c>
      <c r="L166" s="90"/>
      <c r="M166" s="92"/>
      <c r="N166" s="92"/>
      <c r="O166" s="92"/>
      <c r="P166" s="92"/>
      <c r="Q166" s="92"/>
      <c r="R166" s="92"/>
      <c r="S166" s="92"/>
      <c r="T166" s="92"/>
      <c r="U166" s="92"/>
      <c r="V166" s="92"/>
      <c r="W166" s="92"/>
      <c r="X166" s="91"/>
    </row>
    <row r="167" spans="4:24" hidden="1" x14ac:dyDescent="0.2">
      <c r="D167" t="s">
        <v>440</v>
      </c>
      <c r="E167">
        <v>3</v>
      </c>
      <c r="F167">
        <f>PodDop!J23</f>
        <v>166</v>
      </c>
      <c r="H167" s="49">
        <f t="shared" si="6"/>
        <v>0</v>
      </c>
      <c r="I167">
        <f t="shared" si="7"/>
        <v>0</v>
      </c>
      <c r="J167" s="90">
        <f>PodDop!K23</f>
        <v>0</v>
      </c>
      <c r="K167" s="91">
        <f>PodDop!L23</f>
        <v>0</v>
      </c>
      <c r="L167" s="90"/>
      <c r="M167" s="92"/>
      <c r="N167" s="92"/>
      <c r="O167" s="92"/>
      <c r="P167" s="92"/>
      <c r="Q167" s="92"/>
      <c r="R167" s="92"/>
      <c r="S167" s="92"/>
      <c r="T167" s="92"/>
      <c r="U167" s="92"/>
      <c r="V167" s="92"/>
      <c r="W167" s="92"/>
      <c r="X167" s="91"/>
    </row>
    <row r="168" spans="4:24" hidden="1" x14ac:dyDescent="0.2">
      <c r="D168" t="s">
        <v>440</v>
      </c>
      <c r="E168">
        <v>3</v>
      </c>
      <c r="F168">
        <f>PodDop!J24</f>
        <v>167</v>
      </c>
      <c r="H168" s="49">
        <f t="shared" si="6"/>
        <v>0</v>
      </c>
      <c r="I168">
        <f t="shared" si="7"/>
        <v>0</v>
      </c>
      <c r="J168" s="90">
        <f>PodDop!K24</f>
        <v>0</v>
      </c>
      <c r="K168" s="91">
        <f>PodDop!L24</f>
        <v>0</v>
      </c>
      <c r="L168" s="90"/>
      <c r="M168" s="92"/>
      <c r="N168" s="92"/>
      <c r="O168" s="92"/>
      <c r="P168" s="92"/>
      <c r="Q168" s="92"/>
      <c r="R168" s="92"/>
      <c r="S168" s="92"/>
      <c r="T168" s="92"/>
      <c r="U168" s="92"/>
      <c r="V168" s="92"/>
      <c r="W168" s="92"/>
      <c r="X168" s="91"/>
    </row>
    <row r="169" spans="4:24" hidden="1" x14ac:dyDescent="0.2">
      <c r="D169" t="s">
        <v>440</v>
      </c>
      <c r="E169">
        <v>3</v>
      </c>
      <c r="F169">
        <f>PodDop!J25</f>
        <v>168</v>
      </c>
      <c r="H169" s="49">
        <f t="shared" si="6"/>
        <v>0</v>
      </c>
      <c r="I169">
        <f t="shared" si="7"/>
        <v>0</v>
      </c>
      <c r="J169" s="90">
        <f>PodDop!K25</f>
        <v>0</v>
      </c>
      <c r="K169" s="91">
        <f>PodDop!L25</f>
        <v>0</v>
      </c>
      <c r="L169" s="90"/>
      <c r="M169" s="92"/>
      <c r="N169" s="92"/>
      <c r="O169" s="92"/>
      <c r="P169" s="92"/>
      <c r="Q169" s="92"/>
      <c r="R169" s="92"/>
      <c r="S169" s="92"/>
      <c r="T169" s="92"/>
      <c r="U169" s="92"/>
      <c r="V169" s="92"/>
      <c r="W169" s="92"/>
      <c r="X169" s="91"/>
    </row>
    <row r="170" spans="4:24" hidden="1" x14ac:dyDescent="0.2">
      <c r="D170" t="s">
        <v>440</v>
      </c>
      <c r="E170">
        <v>3</v>
      </c>
      <c r="F170">
        <f>PodDop!J26</f>
        <v>169</v>
      </c>
      <c r="H170" s="49">
        <f t="shared" si="6"/>
        <v>0</v>
      </c>
      <c r="I170">
        <f t="shared" si="7"/>
        <v>0</v>
      </c>
      <c r="J170" s="90">
        <f>PodDop!K26</f>
        <v>0</v>
      </c>
      <c r="K170" s="91">
        <f>PodDop!L26</f>
        <v>0</v>
      </c>
      <c r="L170" s="90"/>
      <c r="M170" s="92"/>
      <c r="N170" s="92"/>
      <c r="O170" s="92"/>
      <c r="P170" s="92"/>
      <c r="Q170" s="92"/>
      <c r="R170" s="92"/>
      <c r="S170" s="92"/>
      <c r="T170" s="92"/>
      <c r="U170" s="92"/>
      <c r="V170" s="92"/>
      <c r="W170" s="92"/>
      <c r="X170" s="91"/>
    </row>
    <row r="171" spans="4:24" hidden="1" x14ac:dyDescent="0.2">
      <c r="D171" t="s">
        <v>440</v>
      </c>
      <c r="E171">
        <v>3</v>
      </c>
      <c r="F171">
        <f>PodDop!J27</f>
        <v>170</v>
      </c>
      <c r="H171" s="49">
        <f t="shared" si="6"/>
        <v>0</v>
      </c>
      <c r="I171">
        <f t="shared" si="7"/>
        <v>0</v>
      </c>
      <c r="J171" s="90">
        <f>PodDop!K27</f>
        <v>0</v>
      </c>
      <c r="K171" s="91">
        <f>PodDop!L27</f>
        <v>0</v>
      </c>
      <c r="L171" s="90"/>
      <c r="M171" s="92"/>
      <c r="N171" s="92"/>
      <c r="O171" s="92"/>
      <c r="P171" s="92"/>
      <c r="Q171" s="92"/>
      <c r="R171" s="92"/>
      <c r="S171" s="92"/>
      <c r="T171" s="92"/>
      <c r="U171" s="92"/>
      <c r="V171" s="92"/>
      <c r="W171" s="92"/>
      <c r="X171" s="91"/>
    </row>
    <row r="172" spans="4:24" hidden="1" x14ac:dyDescent="0.2">
      <c r="D172" t="s">
        <v>440</v>
      </c>
      <c r="E172">
        <v>3</v>
      </c>
      <c r="F172">
        <f>PodDop!J28</f>
        <v>171</v>
      </c>
      <c r="H172" s="49">
        <f t="shared" si="6"/>
        <v>0</v>
      </c>
      <c r="I172">
        <f t="shared" si="7"/>
        <v>0</v>
      </c>
      <c r="J172" s="90">
        <f>PodDop!K28</f>
        <v>0</v>
      </c>
      <c r="K172" s="91">
        <f>PodDop!L28</f>
        <v>0</v>
      </c>
      <c r="L172" s="90"/>
      <c r="M172" s="92"/>
      <c r="N172" s="92"/>
      <c r="O172" s="92"/>
      <c r="P172" s="92"/>
      <c r="Q172" s="92"/>
      <c r="R172" s="92"/>
      <c r="S172" s="92"/>
      <c r="T172" s="92"/>
      <c r="U172" s="92"/>
      <c r="V172" s="92"/>
      <c r="W172" s="92"/>
      <c r="X172" s="91"/>
    </row>
    <row r="173" spans="4:24" hidden="1" x14ac:dyDescent="0.2">
      <c r="D173" t="s">
        <v>440</v>
      </c>
      <c r="E173">
        <v>3</v>
      </c>
      <c r="F173">
        <f>PodDop!J29</f>
        <v>172</v>
      </c>
      <c r="H173" s="49">
        <f t="shared" si="6"/>
        <v>0</v>
      </c>
      <c r="I173">
        <f t="shared" si="7"/>
        <v>0</v>
      </c>
      <c r="J173" s="90">
        <f>PodDop!K29</f>
        <v>0</v>
      </c>
      <c r="K173" s="91">
        <f>PodDop!L29</f>
        <v>0</v>
      </c>
      <c r="L173" s="90"/>
      <c r="M173" s="92"/>
      <c r="N173" s="92"/>
      <c r="O173" s="92"/>
      <c r="P173" s="92"/>
      <c r="Q173" s="92"/>
      <c r="R173" s="92"/>
      <c r="S173" s="92"/>
      <c r="T173" s="92"/>
      <c r="U173" s="92"/>
      <c r="V173" s="92"/>
      <c r="W173" s="92"/>
      <c r="X173" s="91"/>
    </row>
    <row r="174" spans="4:24" hidden="1" x14ac:dyDescent="0.2">
      <c r="D174" t="s">
        <v>440</v>
      </c>
      <c r="E174">
        <v>3</v>
      </c>
      <c r="F174">
        <f>PodDop!J30</f>
        <v>173</v>
      </c>
      <c r="H174" s="49">
        <f t="shared" si="6"/>
        <v>0</v>
      </c>
      <c r="I174">
        <f t="shared" si="7"/>
        <v>0</v>
      </c>
      <c r="J174" s="90">
        <f>PodDop!K30</f>
        <v>0</v>
      </c>
      <c r="K174" s="91">
        <f>PodDop!L30</f>
        <v>0</v>
      </c>
      <c r="L174" s="90"/>
      <c r="M174" s="92"/>
      <c r="N174" s="92"/>
      <c r="O174" s="92"/>
      <c r="P174" s="92"/>
      <c r="Q174" s="92"/>
      <c r="R174" s="92"/>
      <c r="S174" s="92"/>
      <c r="T174" s="92"/>
      <c r="U174" s="92"/>
      <c r="V174" s="92"/>
      <c r="W174" s="92"/>
      <c r="X174" s="91"/>
    </row>
    <row r="175" spans="4:24" hidden="1" x14ac:dyDescent="0.2">
      <c r="D175" t="s">
        <v>440</v>
      </c>
      <c r="E175">
        <v>3</v>
      </c>
      <c r="F175">
        <f>PodDop!J31</f>
        <v>174</v>
      </c>
      <c r="H175" s="49">
        <f t="shared" si="6"/>
        <v>0</v>
      </c>
      <c r="I175">
        <f t="shared" si="7"/>
        <v>0</v>
      </c>
      <c r="J175" s="90">
        <f>PodDop!K31</f>
        <v>0</v>
      </c>
      <c r="K175" s="91">
        <f>PodDop!L31</f>
        <v>0</v>
      </c>
      <c r="L175" s="90"/>
      <c r="M175" s="92"/>
      <c r="N175" s="92"/>
      <c r="O175" s="92"/>
      <c r="P175" s="92"/>
      <c r="Q175" s="92"/>
      <c r="R175" s="92"/>
      <c r="S175" s="92"/>
      <c r="T175" s="92"/>
      <c r="U175" s="92"/>
      <c r="V175" s="92"/>
      <c r="W175" s="92"/>
      <c r="X175" s="91"/>
    </row>
    <row r="176" spans="4:24" hidden="1" x14ac:dyDescent="0.2">
      <c r="D176" t="s">
        <v>440</v>
      </c>
      <c r="E176">
        <v>3</v>
      </c>
      <c r="F176">
        <f>PodDop!J32</f>
        <v>175</v>
      </c>
      <c r="H176" s="49">
        <f t="shared" si="6"/>
        <v>0</v>
      </c>
      <c r="I176">
        <f t="shared" si="7"/>
        <v>0</v>
      </c>
      <c r="J176" s="90">
        <f>PodDop!K32</f>
        <v>0</v>
      </c>
      <c r="K176" s="91">
        <f>PodDop!L32</f>
        <v>0</v>
      </c>
      <c r="L176" s="90"/>
      <c r="M176" s="92"/>
      <c r="N176" s="92"/>
      <c r="O176" s="92"/>
      <c r="P176" s="92"/>
      <c r="Q176" s="92"/>
      <c r="R176" s="92"/>
      <c r="S176" s="92"/>
      <c r="T176" s="92"/>
      <c r="U176" s="92"/>
      <c r="V176" s="92"/>
      <c r="W176" s="92"/>
      <c r="X176" s="91"/>
    </row>
    <row r="177" spans="4:24" hidden="1" x14ac:dyDescent="0.2">
      <c r="D177" t="s">
        <v>440</v>
      </c>
      <c r="E177">
        <v>3</v>
      </c>
      <c r="F177">
        <f>PodDop!J33</f>
        <v>176</v>
      </c>
      <c r="H177" s="49">
        <f t="shared" si="6"/>
        <v>0</v>
      </c>
      <c r="I177">
        <f t="shared" si="7"/>
        <v>0</v>
      </c>
      <c r="J177" s="90">
        <f>PodDop!K33</f>
        <v>0</v>
      </c>
      <c r="K177" s="91">
        <f>PodDop!L33</f>
        <v>0</v>
      </c>
      <c r="L177" s="90"/>
      <c r="M177" s="92"/>
      <c r="N177" s="92"/>
      <c r="O177" s="92"/>
      <c r="P177" s="92"/>
      <c r="Q177" s="92"/>
      <c r="R177" s="92"/>
      <c r="S177" s="92"/>
      <c r="T177" s="92"/>
      <c r="U177" s="92"/>
      <c r="V177" s="92"/>
      <c r="W177" s="92"/>
      <c r="X177" s="91"/>
    </row>
    <row r="178" spans="4:24" hidden="1" x14ac:dyDescent="0.2">
      <c r="D178" t="s">
        <v>440</v>
      </c>
      <c r="E178">
        <v>3</v>
      </c>
      <c r="F178">
        <f>PodDop!J34</f>
        <v>177</v>
      </c>
      <c r="H178" s="49">
        <f t="shared" si="6"/>
        <v>0</v>
      </c>
      <c r="I178">
        <f t="shared" si="7"/>
        <v>0</v>
      </c>
      <c r="J178" s="90">
        <f>PodDop!K34</f>
        <v>0</v>
      </c>
      <c r="K178" s="91">
        <f>PodDop!L34</f>
        <v>0</v>
      </c>
      <c r="L178" s="90"/>
      <c r="M178" s="92"/>
      <c r="N178" s="92"/>
      <c r="O178" s="92"/>
      <c r="P178" s="92"/>
      <c r="Q178" s="92"/>
      <c r="R178" s="92"/>
      <c r="S178" s="92"/>
      <c r="T178" s="92"/>
      <c r="U178" s="92"/>
      <c r="V178" s="92"/>
      <c r="W178" s="92"/>
      <c r="X178" s="91"/>
    </row>
    <row r="179" spans="4:24" hidden="1" x14ac:dyDescent="0.2">
      <c r="D179" t="s">
        <v>440</v>
      </c>
      <c r="E179">
        <v>3</v>
      </c>
      <c r="F179">
        <f>PodDop!J35</f>
        <v>178</v>
      </c>
      <c r="H179" s="49">
        <f t="shared" si="6"/>
        <v>0</v>
      </c>
      <c r="I179">
        <f t="shared" si="7"/>
        <v>0</v>
      </c>
      <c r="J179" s="90">
        <f>PodDop!K35</f>
        <v>0</v>
      </c>
      <c r="K179" s="91">
        <f>PodDop!L35</f>
        <v>0</v>
      </c>
      <c r="L179" s="90"/>
      <c r="M179" s="92"/>
      <c r="N179" s="92"/>
      <c r="O179" s="92"/>
      <c r="P179" s="92"/>
      <c r="Q179" s="92"/>
      <c r="R179" s="92"/>
      <c r="S179" s="92"/>
      <c r="T179" s="92"/>
      <c r="U179" s="92"/>
      <c r="V179" s="92"/>
      <c r="W179" s="92"/>
      <c r="X179" s="91"/>
    </row>
    <row r="180" spans="4:24" hidden="1" x14ac:dyDescent="0.2">
      <c r="D180" t="s">
        <v>440</v>
      </c>
      <c r="E180">
        <v>3</v>
      </c>
      <c r="F180">
        <f>PodDop!J36</f>
        <v>179</v>
      </c>
      <c r="H180" s="49">
        <f t="shared" si="6"/>
        <v>0</v>
      </c>
      <c r="I180">
        <f t="shared" si="7"/>
        <v>0</v>
      </c>
      <c r="J180" s="90">
        <f>PodDop!K36</f>
        <v>0</v>
      </c>
      <c r="K180" s="91">
        <f>PodDop!L36</f>
        <v>0</v>
      </c>
      <c r="L180" s="90"/>
      <c r="M180" s="92"/>
      <c r="N180" s="92"/>
      <c r="O180" s="92"/>
      <c r="P180" s="92"/>
      <c r="Q180" s="92"/>
      <c r="R180" s="92"/>
      <c r="S180" s="92"/>
      <c r="T180" s="92"/>
      <c r="U180" s="92"/>
      <c r="V180" s="92"/>
      <c r="W180" s="92"/>
      <c r="X180" s="91"/>
    </row>
    <row r="181" spans="4:24" hidden="1" x14ac:dyDescent="0.2">
      <c r="D181" t="s">
        <v>440</v>
      </c>
      <c r="E181">
        <v>3</v>
      </c>
      <c r="F181">
        <f>PodDop!J37</f>
        <v>180</v>
      </c>
      <c r="H181" s="49">
        <f t="shared" si="6"/>
        <v>0</v>
      </c>
      <c r="I181">
        <f t="shared" si="7"/>
        <v>0</v>
      </c>
      <c r="J181" s="90">
        <f>PodDop!K37</f>
        <v>0</v>
      </c>
      <c r="K181" s="91">
        <f>PodDop!L37</f>
        <v>0</v>
      </c>
      <c r="L181" s="90"/>
      <c r="M181" s="92"/>
      <c r="N181" s="92"/>
      <c r="O181" s="92"/>
      <c r="P181" s="92"/>
      <c r="Q181" s="92"/>
      <c r="R181" s="92"/>
      <c r="S181" s="92"/>
      <c r="T181" s="92"/>
      <c r="U181" s="92"/>
      <c r="V181" s="92"/>
      <c r="W181" s="92"/>
      <c r="X181" s="91"/>
    </row>
    <row r="182" spans="4:24" hidden="1" x14ac:dyDescent="0.2">
      <c r="D182" t="s">
        <v>440</v>
      </c>
      <c r="E182">
        <v>3</v>
      </c>
      <c r="F182">
        <f>PodDop!J38</f>
        <v>181</v>
      </c>
      <c r="H182" s="49">
        <f t="shared" si="6"/>
        <v>0</v>
      </c>
      <c r="I182">
        <f t="shared" si="7"/>
        <v>0</v>
      </c>
      <c r="J182" s="90">
        <f>PodDop!K38</f>
        <v>0</v>
      </c>
      <c r="K182" s="91">
        <f>PodDop!L38</f>
        <v>0</v>
      </c>
      <c r="L182" s="90"/>
      <c r="M182" s="92"/>
      <c r="N182" s="92"/>
      <c r="O182" s="92"/>
      <c r="P182" s="92"/>
      <c r="Q182" s="92"/>
      <c r="R182" s="92"/>
      <c r="S182" s="92"/>
      <c r="T182" s="92"/>
      <c r="U182" s="92"/>
      <c r="V182" s="92"/>
      <c r="W182" s="92"/>
      <c r="X182" s="91"/>
    </row>
    <row r="183" spans="4:24" hidden="1" x14ac:dyDescent="0.2">
      <c r="D183" t="s">
        <v>440</v>
      </c>
      <c r="E183">
        <v>3</v>
      </c>
      <c r="F183">
        <f>PodDop!J39</f>
        <v>182</v>
      </c>
      <c r="H183" s="49">
        <f t="shared" si="6"/>
        <v>0</v>
      </c>
      <c r="I183">
        <f t="shared" si="7"/>
        <v>0</v>
      </c>
      <c r="J183" s="90">
        <f>PodDop!K39</f>
        <v>0</v>
      </c>
      <c r="K183" s="91">
        <f>PodDop!L39</f>
        <v>0</v>
      </c>
      <c r="L183" s="90"/>
      <c r="M183" s="92"/>
      <c r="N183" s="92"/>
      <c r="O183" s="92"/>
      <c r="P183" s="92"/>
      <c r="Q183" s="92"/>
      <c r="R183" s="92"/>
      <c r="S183" s="92"/>
      <c r="T183" s="92"/>
      <c r="U183" s="92"/>
      <c r="V183" s="92"/>
      <c r="W183" s="92"/>
      <c r="X183" s="91"/>
    </row>
    <row r="184" spans="4:24" hidden="1" x14ac:dyDescent="0.2">
      <c r="D184" t="s">
        <v>440</v>
      </c>
      <c r="E184">
        <v>3</v>
      </c>
      <c r="F184">
        <f>PodDop!J40</f>
        <v>183</v>
      </c>
      <c r="H184" s="49">
        <f t="shared" si="6"/>
        <v>0</v>
      </c>
      <c r="I184">
        <f t="shared" si="7"/>
        <v>0</v>
      </c>
      <c r="J184" s="90">
        <f>PodDop!K40</f>
        <v>0</v>
      </c>
      <c r="K184" s="91">
        <f>PodDop!L40</f>
        <v>0</v>
      </c>
      <c r="L184" s="90"/>
      <c r="M184" s="92"/>
      <c r="N184" s="92"/>
      <c r="O184" s="92"/>
      <c r="P184" s="92"/>
      <c r="Q184" s="92"/>
      <c r="R184" s="92"/>
      <c r="S184" s="92"/>
      <c r="T184" s="92"/>
      <c r="U184" s="92"/>
      <c r="V184" s="92"/>
      <c r="W184" s="92"/>
      <c r="X184" s="91"/>
    </row>
    <row r="185" spans="4:24" hidden="1" x14ac:dyDescent="0.2">
      <c r="D185" t="s">
        <v>440</v>
      </c>
      <c r="E185">
        <v>3</v>
      </c>
      <c r="F185">
        <f>PodDop!J41</f>
        <v>184</v>
      </c>
      <c r="H185" s="49">
        <f t="shared" si="6"/>
        <v>0</v>
      </c>
      <c r="I185">
        <f t="shared" si="7"/>
        <v>0</v>
      </c>
      <c r="J185" s="90">
        <f>PodDop!K41</f>
        <v>0</v>
      </c>
      <c r="K185" s="91">
        <f>PodDop!L41</f>
        <v>0</v>
      </c>
      <c r="L185" s="90"/>
      <c r="M185" s="92"/>
      <c r="N185" s="92"/>
      <c r="O185" s="92"/>
      <c r="P185" s="92"/>
      <c r="Q185" s="92"/>
      <c r="R185" s="92"/>
      <c r="S185" s="92"/>
      <c r="T185" s="92"/>
      <c r="U185" s="92"/>
      <c r="V185" s="92"/>
      <c r="W185" s="92"/>
      <c r="X185" s="91"/>
    </row>
    <row r="186" spans="4:24" hidden="1" x14ac:dyDescent="0.2">
      <c r="D186" t="s">
        <v>440</v>
      </c>
      <c r="E186">
        <v>3</v>
      </c>
      <c r="F186">
        <f>PodDop!J42</f>
        <v>185</v>
      </c>
      <c r="H186" s="49">
        <f t="shared" si="6"/>
        <v>0</v>
      </c>
      <c r="I186">
        <f t="shared" si="7"/>
        <v>0</v>
      </c>
      <c r="J186" s="90">
        <f>PodDop!K42</f>
        <v>0</v>
      </c>
      <c r="K186" s="91">
        <f>PodDop!L42</f>
        <v>0</v>
      </c>
      <c r="L186" s="90"/>
      <c r="M186" s="92"/>
      <c r="N186" s="92"/>
      <c r="O186" s="92"/>
      <c r="P186" s="92"/>
      <c r="Q186" s="92"/>
      <c r="R186" s="92"/>
      <c r="S186" s="92"/>
      <c r="T186" s="92"/>
      <c r="U186" s="92"/>
      <c r="V186" s="92"/>
      <c r="W186" s="92"/>
      <c r="X186" s="91"/>
    </row>
    <row r="187" spans="4:24" hidden="1" x14ac:dyDescent="0.2">
      <c r="D187" t="s">
        <v>440</v>
      </c>
      <c r="E187">
        <v>3</v>
      </c>
      <c r="F187">
        <f>PodDop!J43</f>
        <v>186</v>
      </c>
      <c r="H187" s="49">
        <f t="shared" si="6"/>
        <v>0</v>
      </c>
      <c r="I187">
        <f t="shared" si="7"/>
        <v>0</v>
      </c>
      <c r="J187" s="90">
        <f>PodDop!K43</f>
        <v>0</v>
      </c>
      <c r="K187" s="91">
        <f>PodDop!L43</f>
        <v>0</v>
      </c>
      <c r="L187" s="90"/>
      <c r="M187" s="92"/>
      <c r="N187" s="92"/>
      <c r="O187" s="92"/>
      <c r="P187" s="92"/>
      <c r="Q187" s="92"/>
      <c r="R187" s="92"/>
      <c r="S187" s="92"/>
      <c r="T187" s="92"/>
      <c r="U187" s="92"/>
      <c r="V187" s="92"/>
      <c r="W187" s="92"/>
      <c r="X187" s="91"/>
    </row>
    <row r="188" spans="4:24" hidden="1" x14ac:dyDescent="0.2">
      <c r="D188" t="s">
        <v>440</v>
      </c>
      <c r="E188">
        <v>3</v>
      </c>
      <c r="F188">
        <f>PodDop!J44</f>
        <v>187</v>
      </c>
      <c r="H188" s="49">
        <f t="shared" si="6"/>
        <v>0</v>
      </c>
      <c r="I188">
        <f t="shared" si="7"/>
        <v>0</v>
      </c>
      <c r="J188" s="90">
        <f>PodDop!K44</f>
        <v>0</v>
      </c>
      <c r="K188" s="91">
        <f>PodDop!L44</f>
        <v>0</v>
      </c>
      <c r="L188" s="90"/>
      <c r="M188" s="92"/>
      <c r="N188" s="92"/>
      <c r="O188" s="92"/>
      <c r="P188" s="92"/>
      <c r="Q188" s="92"/>
      <c r="R188" s="92"/>
      <c r="S188" s="92"/>
      <c r="T188" s="92"/>
      <c r="U188" s="92"/>
      <c r="V188" s="92"/>
      <c r="W188" s="92"/>
      <c r="X188" s="91"/>
    </row>
    <row r="189" spans="4:24" hidden="1" x14ac:dyDescent="0.2">
      <c r="D189" t="s">
        <v>440</v>
      </c>
      <c r="E189">
        <v>3</v>
      </c>
      <c r="F189">
        <f>PodDop!J45</f>
        <v>188</v>
      </c>
      <c r="H189" s="49">
        <f t="shared" si="6"/>
        <v>0</v>
      </c>
      <c r="I189">
        <f t="shared" si="7"/>
        <v>0</v>
      </c>
      <c r="J189" s="90">
        <f>PodDop!K45</f>
        <v>0</v>
      </c>
      <c r="K189" s="91">
        <f>PodDop!L45</f>
        <v>0</v>
      </c>
      <c r="L189" s="90"/>
      <c r="M189" s="92"/>
      <c r="N189" s="92"/>
      <c r="O189" s="92"/>
      <c r="P189" s="92"/>
      <c r="Q189" s="92"/>
      <c r="R189" s="92"/>
      <c r="S189" s="92"/>
      <c r="T189" s="92"/>
      <c r="U189" s="92"/>
      <c r="V189" s="92"/>
      <c r="W189" s="92"/>
      <c r="X189" s="91"/>
    </row>
    <row r="190" spans="4:24" hidden="1" x14ac:dyDescent="0.2">
      <c r="D190" t="s">
        <v>440</v>
      </c>
      <c r="E190">
        <v>3</v>
      </c>
      <c r="F190">
        <f>PodDop!J46</f>
        <v>189</v>
      </c>
      <c r="H190" s="49">
        <f t="shared" si="6"/>
        <v>0</v>
      </c>
      <c r="I190">
        <f t="shared" si="7"/>
        <v>0</v>
      </c>
      <c r="J190" s="90">
        <f>PodDop!K46</f>
        <v>0</v>
      </c>
      <c r="K190" s="91">
        <f>PodDop!L46</f>
        <v>0</v>
      </c>
      <c r="L190" s="90"/>
      <c r="M190" s="92"/>
      <c r="N190" s="92"/>
      <c r="O190" s="92"/>
      <c r="P190" s="92"/>
      <c r="Q190" s="92"/>
      <c r="R190" s="92"/>
      <c r="S190" s="92"/>
      <c r="T190" s="92"/>
      <c r="U190" s="92"/>
      <c r="V190" s="92"/>
      <c r="W190" s="92"/>
      <c r="X190" s="91"/>
    </row>
    <row r="191" spans="4:24" hidden="1" x14ac:dyDescent="0.2">
      <c r="D191" t="s">
        <v>440</v>
      </c>
      <c r="E191">
        <v>3</v>
      </c>
      <c r="F191">
        <f>PodDop!J47</f>
        <v>190</v>
      </c>
      <c r="H191" s="49">
        <f t="shared" si="6"/>
        <v>0</v>
      </c>
      <c r="I191">
        <f t="shared" si="7"/>
        <v>0</v>
      </c>
      <c r="J191" s="90">
        <f>PodDop!K47</f>
        <v>0</v>
      </c>
      <c r="K191" s="91">
        <f>PodDop!L47</f>
        <v>0</v>
      </c>
      <c r="L191" s="90"/>
      <c r="M191" s="92"/>
      <c r="N191" s="92"/>
      <c r="O191" s="92"/>
      <c r="P191" s="92"/>
      <c r="Q191" s="92"/>
      <c r="R191" s="92"/>
      <c r="S191" s="92"/>
      <c r="T191" s="92"/>
      <c r="U191" s="92"/>
      <c r="V191" s="92"/>
      <c r="W191" s="92"/>
      <c r="X191" s="91"/>
    </row>
    <row r="192" spans="4:24" hidden="1" x14ac:dyDescent="0.2">
      <c r="D192" t="s">
        <v>440</v>
      </c>
      <c r="E192">
        <v>3</v>
      </c>
      <c r="F192">
        <f>PodDop!J48</f>
        <v>191</v>
      </c>
      <c r="H192" s="49">
        <f t="shared" si="6"/>
        <v>0</v>
      </c>
      <c r="I192">
        <f t="shared" si="7"/>
        <v>0</v>
      </c>
      <c r="J192" s="90">
        <f>PodDop!K48</f>
        <v>0</v>
      </c>
      <c r="K192" s="91">
        <f>PodDop!L48</f>
        <v>0</v>
      </c>
      <c r="L192" s="90"/>
      <c r="M192" s="92"/>
      <c r="N192" s="92"/>
      <c r="O192" s="92"/>
      <c r="P192" s="92"/>
      <c r="Q192" s="92"/>
      <c r="R192" s="92"/>
      <c r="S192" s="92"/>
      <c r="T192" s="92"/>
      <c r="U192" s="92"/>
      <c r="V192" s="92"/>
      <c r="W192" s="92"/>
      <c r="X192" s="91"/>
    </row>
    <row r="193" spans="4:24" hidden="1" x14ac:dyDescent="0.2">
      <c r="D193" t="s">
        <v>440</v>
      </c>
      <c r="E193">
        <v>3</v>
      </c>
      <c r="F193">
        <f>PodDop!J49</f>
        <v>192</v>
      </c>
      <c r="H193" s="49">
        <f t="shared" si="6"/>
        <v>0</v>
      </c>
      <c r="I193">
        <f t="shared" si="7"/>
        <v>0</v>
      </c>
      <c r="J193" s="90">
        <f>PodDop!K49</f>
        <v>0</v>
      </c>
      <c r="K193" s="91">
        <f>PodDop!L49</f>
        <v>0</v>
      </c>
      <c r="L193" s="90"/>
      <c r="M193" s="92"/>
      <c r="N193" s="92"/>
      <c r="O193" s="92"/>
      <c r="P193" s="92"/>
      <c r="Q193" s="92"/>
      <c r="R193" s="92"/>
      <c r="S193" s="92"/>
      <c r="T193" s="92"/>
      <c r="U193" s="92"/>
      <c r="V193" s="92"/>
      <c r="W193" s="92"/>
      <c r="X193" s="91"/>
    </row>
    <row r="194" spans="4:24" hidden="1" x14ac:dyDescent="0.2">
      <c r="D194" t="s">
        <v>440</v>
      </c>
      <c r="E194">
        <v>3</v>
      </c>
      <c r="F194">
        <f>PodDop!J50</f>
        <v>193</v>
      </c>
      <c r="H194" s="49">
        <f t="shared" ref="H194:H257" si="8">J194/100*F194+2*K194/100*F194</f>
        <v>0</v>
      </c>
      <c r="I194">
        <f t="shared" si="7"/>
        <v>0</v>
      </c>
      <c r="J194" s="90">
        <f>PodDop!K50</f>
        <v>0</v>
      </c>
      <c r="K194" s="91">
        <f>PodDop!L50</f>
        <v>0</v>
      </c>
      <c r="L194" s="90"/>
      <c r="M194" s="92"/>
      <c r="N194" s="92"/>
      <c r="O194" s="92"/>
      <c r="P194" s="92"/>
      <c r="Q194" s="92"/>
      <c r="R194" s="92"/>
      <c r="S194" s="92"/>
      <c r="T194" s="92"/>
      <c r="U194" s="92"/>
      <c r="V194" s="92"/>
      <c r="W194" s="92"/>
      <c r="X194" s="91"/>
    </row>
    <row r="195" spans="4:24" hidden="1" x14ac:dyDescent="0.2">
      <c r="D195" t="s">
        <v>440</v>
      </c>
      <c r="E195">
        <v>3</v>
      </c>
      <c r="F195">
        <f>PodDop!J51</f>
        <v>194</v>
      </c>
      <c r="H195" s="49">
        <f t="shared" si="8"/>
        <v>0</v>
      </c>
      <c r="I195">
        <f t="shared" ref="I195:I258" si="9">ABS(ROUND(J195,0)-J195)+ABS(ROUND(K195,0)-K195)</f>
        <v>0</v>
      </c>
      <c r="J195" s="90">
        <f>PodDop!K51</f>
        <v>0</v>
      </c>
      <c r="K195" s="91">
        <f>PodDop!L51</f>
        <v>0</v>
      </c>
      <c r="L195" s="90"/>
      <c r="M195" s="92"/>
      <c r="N195" s="92"/>
      <c r="O195" s="92"/>
      <c r="P195" s="92"/>
      <c r="Q195" s="92"/>
      <c r="R195" s="92"/>
      <c r="S195" s="92"/>
      <c r="T195" s="92"/>
      <c r="U195" s="92"/>
      <c r="V195" s="92"/>
      <c r="W195" s="92"/>
      <c r="X195" s="91"/>
    </row>
    <row r="196" spans="4:24" hidden="1" x14ac:dyDescent="0.2">
      <c r="D196" t="s">
        <v>440</v>
      </c>
      <c r="E196">
        <v>3</v>
      </c>
      <c r="F196">
        <f>PodDop!J52</f>
        <v>195</v>
      </c>
      <c r="H196" s="49">
        <f t="shared" si="8"/>
        <v>0</v>
      </c>
      <c r="I196">
        <f t="shared" si="9"/>
        <v>0</v>
      </c>
      <c r="J196" s="90">
        <f>PodDop!K52</f>
        <v>0</v>
      </c>
      <c r="K196" s="91">
        <f>PodDop!L52</f>
        <v>0</v>
      </c>
      <c r="L196" s="90"/>
      <c r="M196" s="92"/>
      <c r="N196" s="92"/>
      <c r="O196" s="92"/>
      <c r="P196" s="92"/>
      <c r="Q196" s="92"/>
      <c r="R196" s="92"/>
      <c r="S196" s="92"/>
      <c r="T196" s="92"/>
      <c r="U196" s="92"/>
      <c r="V196" s="92"/>
      <c r="W196" s="92"/>
      <c r="X196" s="91"/>
    </row>
    <row r="197" spans="4:24" hidden="1" x14ac:dyDescent="0.2">
      <c r="D197" t="s">
        <v>440</v>
      </c>
      <c r="E197">
        <v>3</v>
      </c>
      <c r="F197">
        <f>PodDop!J53</f>
        <v>196</v>
      </c>
      <c r="H197" s="49">
        <f t="shared" si="8"/>
        <v>0</v>
      </c>
      <c r="I197">
        <f t="shared" si="9"/>
        <v>0</v>
      </c>
      <c r="J197" s="90">
        <f>PodDop!K53</f>
        <v>0</v>
      </c>
      <c r="K197" s="91">
        <f>PodDop!L53</f>
        <v>0</v>
      </c>
      <c r="L197" s="90"/>
      <c r="M197" s="92"/>
      <c r="N197" s="92"/>
      <c r="O197" s="92"/>
      <c r="P197" s="92"/>
      <c r="Q197" s="92"/>
      <c r="R197" s="92"/>
      <c r="S197" s="92"/>
      <c r="T197" s="92"/>
      <c r="U197" s="92"/>
      <c r="V197" s="92"/>
      <c r="W197" s="92"/>
      <c r="X197" s="91"/>
    </row>
    <row r="198" spans="4:24" hidden="1" x14ac:dyDescent="0.2">
      <c r="D198" t="s">
        <v>440</v>
      </c>
      <c r="E198">
        <v>3</v>
      </c>
      <c r="F198">
        <f>PodDop!J54</f>
        <v>197</v>
      </c>
      <c r="H198" s="49">
        <f t="shared" si="8"/>
        <v>0</v>
      </c>
      <c r="I198">
        <f t="shared" si="9"/>
        <v>0</v>
      </c>
      <c r="J198" s="90">
        <f>PodDop!K54</f>
        <v>0</v>
      </c>
      <c r="K198" s="91">
        <f>PodDop!L54</f>
        <v>0</v>
      </c>
      <c r="L198" s="90"/>
      <c r="M198" s="92"/>
      <c r="N198" s="92"/>
      <c r="O198" s="92"/>
      <c r="P198" s="92"/>
      <c r="Q198" s="92"/>
      <c r="R198" s="92"/>
      <c r="S198" s="92"/>
      <c r="T198" s="92"/>
      <c r="U198" s="92"/>
      <c r="V198" s="92"/>
      <c r="W198" s="92"/>
      <c r="X198" s="91"/>
    </row>
    <row r="199" spans="4:24" hidden="1" x14ac:dyDescent="0.2">
      <c r="D199" t="s">
        <v>440</v>
      </c>
      <c r="E199">
        <v>3</v>
      </c>
      <c r="F199">
        <f>PodDop!J55</f>
        <v>198</v>
      </c>
      <c r="H199" s="49">
        <f t="shared" si="8"/>
        <v>0</v>
      </c>
      <c r="I199">
        <f t="shared" si="9"/>
        <v>0</v>
      </c>
      <c r="J199" s="90">
        <f>PodDop!K55</f>
        <v>0</v>
      </c>
      <c r="K199" s="91">
        <f>PodDop!L55</f>
        <v>0</v>
      </c>
      <c r="L199" s="90"/>
      <c r="M199" s="92"/>
      <c r="N199" s="92"/>
      <c r="O199" s="92"/>
      <c r="P199" s="92"/>
      <c r="Q199" s="92"/>
      <c r="R199" s="92"/>
      <c r="S199" s="92"/>
      <c r="T199" s="92"/>
      <c r="U199" s="92"/>
      <c r="V199" s="92"/>
      <c r="W199" s="92"/>
      <c r="X199" s="91"/>
    </row>
    <row r="200" spans="4:24" hidden="1" x14ac:dyDescent="0.2">
      <c r="D200" t="s">
        <v>440</v>
      </c>
      <c r="E200">
        <v>3</v>
      </c>
      <c r="F200">
        <f>PodDop!J56</f>
        <v>199</v>
      </c>
      <c r="H200" s="49">
        <f t="shared" si="8"/>
        <v>0</v>
      </c>
      <c r="I200">
        <f t="shared" si="9"/>
        <v>0</v>
      </c>
      <c r="J200" s="90">
        <f>PodDop!K56</f>
        <v>0</v>
      </c>
      <c r="K200" s="91">
        <f>PodDop!L56</f>
        <v>0</v>
      </c>
      <c r="L200" s="90"/>
      <c r="M200" s="92"/>
      <c r="N200" s="92"/>
      <c r="O200" s="92"/>
      <c r="P200" s="92"/>
      <c r="Q200" s="92"/>
      <c r="R200" s="92"/>
      <c r="S200" s="92"/>
      <c r="T200" s="92"/>
      <c r="U200" s="92"/>
      <c r="V200" s="92"/>
      <c r="W200" s="92"/>
      <c r="X200" s="91"/>
    </row>
    <row r="201" spans="4:24" hidden="1" x14ac:dyDescent="0.2">
      <c r="D201" t="s">
        <v>440</v>
      </c>
      <c r="E201">
        <v>3</v>
      </c>
      <c r="F201">
        <f>PodDop!J57</f>
        <v>200</v>
      </c>
      <c r="H201" s="49">
        <f t="shared" si="8"/>
        <v>0</v>
      </c>
      <c r="I201">
        <f t="shared" si="9"/>
        <v>0</v>
      </c>
      <c r="J201" s="90">
        <f>PodDop!K57</f>
        <v>0</v>
      </c>
      <c r="K201" s="91">
        <f>PodDop!L57</f>
        <v>0</v>
      </c>
      <c r="L201" s="90"/>
      <c r="M201" s="92"/>
      <c r="N201" s="92"/>
      <c r="O201" s="92"/>
      <c r="P201" s="92"/>
      <c r="Q201" s="92"/>
      <c r="R201" s="92"/>
      <c r="S201" s="92"/>
      <c r="T201" s="92"/>
      <c r="U201" s="92"/>
      <c r="V201" s="92"/>
      <c r="W201" s="92"/>
      <c r="X201" s="91"/>
    </row>
    <row r="202" spans="4:24" hidden="1" x14ac:dyDescent="0.2">
      <c r="D202" t="s">
        <v>440</v>
      </c>
      <c r="E202">
        <v>3</v>
      </c>
      <c r="F202">
        <f>PodDop!J58</f>
        <v>201</v>
      </c>
      <c r="H202" s="49">
        <f t="shared" si="8"/>
        <v>0</v>
      </c>
      <c r="I202">
        <f t="shared" si="9"/>
        <v>0</v>
      </c>
      <c r="J202" s="90">
        <f>PodDop!K58</f>
        <v>0</v>
      </c>
      <c r="K202" s="91">
        <f>PodDop!L58</f>
        <v>0</v>
      </c>
      <c r="L202" s="90"/>
      <c r="M202" s="92"/>
      <c r="N202" s="92"/>
      <c r="O202" s="92"/>
      <c r="P202" s="92"/>
      <c r="Q202" s="92"/>
      <c r="R202" s="92"/>
      <c r="S202" s="92"/>
      <c r="T202" s="92"/>
      <c r="U202" s="92"/>
      <c r="V202" s="92"/>
      <c r="W202" s="92"/>
      <c r="X202" s="91"/>
    </row>
    <row r="203" spans="4:24" hidden="1" x14ac:dyDescent="0.2">
      <c r="D203" t="s">
        <v>440</v>
      </c>
      <c r="E203">
        <v>3</v>
      </c>
      <c r="F203">
        <f>PodDop!J59</f>
        <v>202</v>
      </c>
      <c r="H203" s="49">
        <f t="shared" si="8"/>
        <v>0</v>
      </c>
      <c r="I203">
        <f t="shared" si="9"/>
        <v>0</v>
      </c>
      <c r="J203" s="90">
        <f>PodDop!K59</f>
        <v>0</v>
      </c>
      <c r="K203" s="91">
        <f>PodDop!L59</f>
        <v>0</v>
      </c>
      <c r="L203" s="90"/>
      <c r="M203" s="92"/>
      <c r="N203" s="92"/>
      <c r="O203" s="92"/>
      <c r="P203" s="92"/>
      <c r="Q203" s="92"/>
      <c r="R203" s="92"/>
      <c r="S203" s="92"/>
      <c r="T203" s="92"/>
      <c r="U203" s="92"/>
      <c r="V203" s="92"/>
      <c r="W203" s="92"/>
      <c r="X203" s="91"/>
    </row>
    <row r="204" spans="4:24" hidden="1" x14ac:dyDescent="0.2">
      <c r="D204" t="s">
        <v>440</v>
      </c>
      <c r="E204">
        <v>3</v>
      </c>
      <c r="F204">
        <f>PodDop!J60</f>
        <v>203</v>
      </c>
      <c r="H204" s="49">
        <f t="shared" si="8"/>
        <v>0</v>
      </c>
      <c r="I204">
        <f t="shared" si="9"/>
        <v>0</v>
      </c>
      <c r="J204" s="90">
        <f>PodDop!K60</f>
        <v>0</v>
      </c>
      <c r="K204" s="91">
        <f>PodDop!L60</f>
        <v>0</v>
      </c>
      <c r="L204" s="90"/>
      <c r="M204" s="92"/>
      <c r="N204" s="92"/>
      <c r="O204" s="92"/>
      <c r="P204" s="92"/>
      <c r="Q204" s="92"/>
      <c r="R204" s="92"/>
      <c r="S204" s="92"/>
      <c r="T204" s="92"/>
      <c r="U204" s="92"/>
      <c r="V204" s="92"/>
      <c r="W204" s="92"/>
      <c r="X204" s="91"/>
    </row>
    <row r="205" spans="4:24" hidden="1" x14ac:dyDescent="0.2">
      <c r="D205" t="s">
        <v>440</v>
      </c>
      <c r="E205">
        <v>3</v>
      </c>
      <c r="F205">
        <f>PodDop!J61</f>
        <v>204</v>
      </c>
      <c r="H205" s="49">
        <f t="shared" si="8"/>
        <v>0</v>
      </c>
      <c r="I205">
        <f t="shared" si="9"/>
        <v>0</v>
      </c>
      <c r="J205" s="90">
        <f>PodDop!K61</f>
        <v>0</v>
      </c>
      <c r="K205" s="91">
        <f>PodDop!L61</f>
        <v>0</v>
      </c>
      <c r="L205" s="90"/>
      <c r="M205" s="92"/>
      <c r="N205" s="92"/>
      <c r="O205" s="92"/>
      <c r="P205" s="92"/>
      <c r="Q205" s="92"/>
      <c r="R205" s="92"/>
      <c r="S205" s="92"/>
      <c r="T205" s="92"/>
      <c r="U205" s="92"/>
      <c r="V205" s="92"/>
      <c r="W205" s="92"/>
      <c r="X205" s="91"/>
    </row>
    <row r="206" spans="4:24" hidden="1" x14ac:dyDescent="0.2">
      <c r="D206" t="s">
        <v>440</v>
      </c>
      <c r="E206">
        <v>3</v>
      </c>
      <c r="F206">
        <f>PodDop!J62</f>
        <v>205</v>
      </c>
      <c r="H206" s="49">
        <f t="shared" si="8"/>
        <v>0</v>
      </c>
      <c r="I206">
        <f t="shared" si="9"/>
        <v>0</v>
      </c>
      <c r="J206" s="90">
        <f>PodDop!K62</f>
        <v>0</v>
      </c>
      <c r="K206" s="91">
        <f>PodDop!L62</f>
        <v>0</v>
      </c>
      <c r="L206" s="90"/>
      <c r="M206" s="92"/>
      <c r="N206" s="92"/>
      <c r="O206" s="92"/>
      <c r="P206" s="92"/>
      <c r="Q206" s="92"/>
      <c r="R206" s="92"/>
      <c r="S206" s="92"/>
      <c r="T206" s="92"/>
      <c r="U206" s="92"/>
      <c r="V206" s="92"/>
      <c r="W206" s="92"/>
      <c r="X206" s="91"/>
    </row>
    <row r="207" spans="4:24" hidden="1" x14ac:dyDescent="0.2">
      <c r="D207" t="s">
        <v>440</v>
      </c>
      <c r="E207">
        <v>3</v>
      </c>
      <c r="F207">
        <f>PodDop!J63</f>
        <v>206</v>
      </c>
      <c r="H207" s="49">
        <f t="shared" si="8"/>
        <v>0</v>
      </c>
      <c r="I207">
        <f t="shared" si="9"/>
        <v>0</v>
      </c>
      <c r="J207" s="90">
        <f>PodDop!K63</f>
        <v>0</v>
      </c>
      <c r="K207" s="91">
        <f>PodDop!L63</f>
        <v>0</v>
      </c>
      <c r="L207" s="90"/>
      <c r="M207" s="92"/>
      <c r="N207" s="92"/>
      <c r="O207" s="92"/>
      <c r="P207" s="92"/>
      <c r="Q207" s="92"/>
      <c r="R207" s="92"/>
      <c r="S207" s="92"/>
      <c r="T207" s="92"/>
      <c r="U207" s="92"/>
      <c r="V207" s="92"/>
      <c r="W207" s="92"/>
      <c r="X207" s="91"/>
    </row>
    <row r="208" spans="4:24" hidden="1" x14ac:dyDescent="0.2">
      <c r="D208" t="s">
        <v>440</v>
      </c>
      <c r="E208">
        <v>3</v>
      </c>
      <c r="F208">
        <f>PodDop!J64</f>
        <v>207</v>
      </c>
      <c r="H208" s="49">
        <f t="shared" si="8"/>
        <v>0</v>
      </c>
      <c r="I208">
        <f t="shared" si="9"/>
        <v>0</v>
      </c>
      <c r="J208" s="90">
        <f>PodDop!K64</f>
        <v>0</v>
      </c>
      <c r="K208" s="91">
        <f>PodDop!L64</f>
        <v>0</v>
      </c>
      <c r="L208" s="90"/>
      <c r="M208" s="92"/>
      <c r="N208" s="92"/>
      <c r="O208" s="92"/>
      <c r="P208" s="92"/>
      <c r="Q208" s="92"/>
      <c r="R208" s="92"/>
      <c r="S208" s="92"/>
      <c r="T208" s="92"/>
      <c r="U208" s="92"/>
      <c r="V208" s="92"/>
      <c r="W208" s="92"/>
      <c r="X208" s="91"/>
    </row>
    <row r="209" spans="4:24" hidden="1" x14ac:dyDescent="0.2">
      <c r="D209" t="s">
        <v>440</v>
      </c>
      <c r="E209">
        <v>3</v>
      </c>
      <c r="F209">
        <f>PodDop!J65</f>
        <v>208</v>
      </c>
      <c r="H209" s="49">
        <f t="shared" si="8"/>
        <v>0</v>
      </c>
      <c r="I209">
        <f t="shared" si="9"/>
        <v>0</v>
      </c>
      <c r="J209" s="90">
        <f>PodDop!K65</f>
        <v>0</v>
      </c>
      <c r="K209" s="91">
        <f>PodDop!L65</f>
        <v>0</v>
      </c>
      <c r="L209" s="90"/>
      <c r="M209" s="92"/>
      <c r="N209" s="92"/>
      <c r="O209" s="92"/>
      <c r="P209" s="92"/>
      <c r="Q209" s="92"/>
      <c r="R209" s="92"/>
      <c r="S209" s="92"/>
      <c r="T209" s="92"/>
      <c r="U209" s="92"/>
      <c r="V209" s="92"/>
      <c r="W209" s="92"/>
      <c r="X209" s="91"/>
    </row>
    <row r="210" spans="4:24" hidden="1" x14ac:dyDescent="0.2">
      <c r="D210" t="s">
        <v>440</v>
      </c>
      <c r="E210">
        <v>3</v>
      </c>
      <c r="F210">
        <f>PodDop!J67</f>
        <v>209</v>
      </c>
      <c r="H210" s="49">
        <f t="shared" si="8"/>
        <v>0</v>
      </c>
      <c r="I210">
        <f t="shared" si="9"/>
        <v>0</v>
      </c>
      <c r="J210" s="90">
        <f>PodDop!K67</f>
        <v>0</v>
      </c>
      <c r="K210" s="91">
        <f>PodDop!L67</f>
        <v>0</v>
      </c>
      <c r="L210" s="90"/>
      <c r="M210" s="92"/>
      <c r="N210" s="92"/>
      <c r="O210" s="92"/>
      <c r="P210" s="92"/>
      <c r="Q210" s="92"/>
      <c r="R210" s="92"/>
      <c r="S210" s="92"/>
      <c r="T210" s="92"/>
      <c r="U210" s="92"/>
      <c r="V210" s="92"/>
      <c r="W210" s="92"/>
      <c r="X210" s="91"/>
    </row>
    <row r="211" spans="4:24" hidden="1" x14ac:dyDescent="0.2">
      <c r="D211" t="s">
        <v>440</v>
      </c>
      <c r="E211">
        <v>3</v>
      </c>
      <c r="F211">
        <f>PodDop!J68</f>
        <v>210</v>
      </c>
      <c r="H211" s="49">
        <f t="shared" si="8"/>
        <v>0</v>
      </c>
      <c r="I211">
        <f t="shared" si="9"/>
        <v>0</v>
      </c>
      <c r="J211" s="90">
        <f>PodDop!K68</f>
        <v>0</v>
      </c>
      <c r="K211" s="91">
        <f>PodDop!L68</f>
        <v>0</v>
      </c>
      <c r="L211" s="90"/>
      <c r="M211" s="92"/>
      <c r="N211" s="92"/>
      <c r="O211" s="92"/>
      <c r="P211" s="92"/>
      <c r="Q211" s="92"/>
      <c r="R211" s="92"/>
      <c r="S211" s="92"/>
      <c r="T211" s="92"/>
      <c r="U211" s="92"/>
      <c r="V211" s="92"/>
      <c r="W211" s="92"/>
      <c r="X211" s="91"/>
    </row>
    <row r="212" spans="4:24" hidden="1" x14ac:dyDescent="0.2">
      <c r="D212" t="s">
        <v>440</v>
      </c>
      <c r="E212">
        <v>3</v>
      </c>
      <c r="F212">
        <f>PodDop!J69</f>
        <v>211</v>
      </c>
      <c r="H212" s="49">
        <f t="shared" si="8"/>
        <v>0</v>
      </c>
      <c r="I212">
        <f t="shared" si="9"/>
        <v>0</v>
      </c>
      <c r="J212" s="90">
        <f>PodDop!K69</f>
        <v>0</v>
      </c>
      <c r="K212" s="91">
        <f>PodDop!L69</f>
        <v>0</v>
      </c>
      <c r="L212" s="90"/>
      <c r="M212" s="92"/>
      <c r="N212" s="92"/>
      <c r="O212" s="92"/>
      <c r="P212" s="92"/>
      <c r="Q212" s="92"/>
      <c r="R212" s="92"/>
      <c r="S212" s="92"/>
      <c r="T212" s="92"/>
      <c r="U212" s="92"/>
      <c r="V212" s="92"/>
      <c r="W212" s="92"/>
      <c r="X212" s="91"/>
    </row>
    <row r="213" spans="4:24" hidden="1" x14ac:dyDescent="0.2">
      <c r="D213" t="s">
        <v>440</v>
      </c>
      <c r="E213">
        <v>3</v>
      </c>
      <c r="F213">
        <f>PodDop!J70</f>
        <v>212</v>
      </c>
      <c r="H213" s="49">
        <f t="shared" si="8"/>
        <v>0</v>
      </c>
      <c r="I213">
        <f t="shared" si="9"/>
        <v>0</v>
      </c>
      <c r="J213" s="90">
        <f>PodDop!K70</f>
        <v>0</v>
      </c>
      <c r="K213" s="91">
        <f>PodDop!L70</f>
        <v>0</v>
      </c>
      <c r="L213" s="90"/>
      <c r="M213" s="92"/>
      <c r="N213" s="92"/>
      <c r="O213" s="92"/>
      <c r="P213" s="92"/>
      <c r="Q213" s="92"/>
      <c r="R213" s="92"/>
      <c r="S213" s="92"/>
      <c r="T213" s="92"/>
      <c r="U213" s="92"/>
      <c r="V213" s="92"/>
      <c r="W213" s="92"/>
      <c r="X213" s="91"/>
    </row>
    <row r="214" spans="4:24" hidden="1" x14ac:dyDescent="0.2">
      <c r="D214" t="s">
        <v>440</v>
      </c>
      <c r="E214">
        <v>3</v>
      </c>
      <c r="F214">
        <f>PodDop!J71</f>
        <v>213</v>
      </c>
      <c r="H214" s="49">
        <f t="shared" si="8"/>
        <v>0</v>
      </c>
      <c r="I214">
        <f t="shared" si="9"/>
        <v>0</v>
      </c>
      <c r="J214" s="90">
        <f>PodDop!K71</f>
        <v>0</v>
      </c>
      <c r="K214" s="91">
        <f>PodDop!L71</f>
        <v>0</v>
      </c>
      <c r="L214" s="90"/>
      <c r="M214" s="92"/>
      <c r="N214" s="92"/>
      <c r="O214" s="92"/>
      <c r="P214" s="92"/>
      <c r="Q214" s="92"/>
      <c r="R214" s="92"/>
      <c r="S214" s="92"/>
      <c r="T214" s="92"/>
      <c r="U214" s="92"/>
      <c r="V214" s="92"/>
      <c r="W214" s="92"/>
      <c r="X214" s="91"/>
    </row>
    <row r="215" spans="4:24" hidden="1" x14ac:dyDescent="0.2">
      <c r="D215" t="s">
        <v>440</v>
      </c>
      <c r="E215">
        <v>3</v>
      </c>
      <c r="F215">
        <f>PodDop!J72</f>
        <v>214</v>
      </c>
      <c r="H215" s="49">
        <f t="shared" si="8"/>
        <v>0</v>
      </c>
      <c r="I215">
        <f t="shared" si="9"/>
        <v>0</v>
      </c>
      <c r="J215" s="90">
        <f>PodDop!K72</f>
        <v>0</v>
      </c>
      <c r="K215" s="91">
        <f>PodDop!L72</f>
        <v>0</v>
      </c>
      <c r="L215" s="90"/>
      <c r="M215" s="92"/>
      <c r="N215" s="92"/>
      <c r="O215" s="92"/>
      <c r="P215" s="92"/>
      <c r="Q215" s="92"/>
      <c r="R215" s="92"/>
      <c r="S215" s="92"/>
      <c r="T215" s="92"/>
      <c r="U215" s="92"/>
      <c r="V215" s="92"/>
      <c r="W215" s="92"/>
      <c r="X215" s="91"/>
    </row>
    <row r="216" spans="4:24" hidden="1" x14ac:dyDescent="0.2">
      <c r="D216" t="s">
        <v>440</v>
      </c>
      <c r="E216">
        <v>3</v>
      </c>
      <c r="F216">
        <f>PodDop!J73</f>
        <v>215</v>
      </c>
      <c r="H216" s="49">
        <f t="shared" si="8"/>
        <v>0</v>
      </c>
      <c r="I216">
        <f t="shared" si="9"/>
        <v>0</v>
      </c>
      <c r="J216" s="90">
        <f>PodDop!K73</f>
        <v>0</v>
      </c>
      <c r="K216" s="91">
        <f>PodDop!L73</f>
        <v>0</v>
      </c>
      <c r="L216" s="90"/>
      <c r="M216" s="92"/>
      <c r="N216" s="92"/>
      <c r="O216" s="92"/>
      <c r="P216" s="92"/>
      <c r="Q216" s="92"/>
      <c r="R216" s="92"/>
      <c r="S216" s="92"/>
      <c r="T216" s="92"/>
      <c r="U216" s="92"/>
      <c r="V216" s="92"/>
      <c r="W216" s="92"/>
      <c r="X216" s="91"/>
    </row>
    <row r="217" spans="4:24" hidden="1" x14ac:dyDescent="0.2">
      <c r="D217" t="s">
        <v>440</v>
      </c>
      <c r="E217">
        <v>3</v>
      </c>
      <c r="F217">
        <f>PodDop!J74</f>
        <v>216</v>
      </c>
      <c r="H217" s="49">
        <f t="shared" si="8"/>
        <v>0</v>
      </c>
      <c r="I217">
        <f t="shared" si="9"/>
        <v>0</v>
      </c>
      <c r="J217" s="90">
        <f>PodDop!K74</f>
        <v>0</v>
      </c>
      <c r="K217" s="91">
        <f>PodDop!L74</f>
        <v>0</v>
      </c>
      <c r="L217" s="90"/>
      <c r="M217" s="92"/>
      <c r="N217" s="92"/>
      <c r="O217" s="92"/>
      <c r="P217" s="92"/>
      <c r="Q217" s="92"/>
      <c r="R217" s="92"/>
      <c r="S217" s="92"/>
      <c r="T217" s="92"/>
      <c r="U217" s="92"/>
      <c r="V217" s="92"/>
      <c r="W217" s="92"/>
      <c r="X217" s="91"/>
    </row>
    <row r="218" spans="4:24" hidden="1" x14ac:dyDescent="0.2">
      <c r="D218" t="s">
        <v>440</v>
      </c>
      <c r="E218">
        <v>3</v>
      </c>
      <c r="F218">
        <f>PodDop!J75</f>
        <v>217</v>
      </c>
      <c r="H218" s="49">
        <f t="shared" si="8"/>
        <v>0</v>
      </c>
      <c r="I218">
        <f t="shared" si="9"/>
        <v>0</v>
      </c>
      <c r="J218" s="90">
        <f>PodDop!K75</f>
        <v>0</v>
      </c>
      <c r="K218" s="91">
        <f>PodDop!L75</f>
        <v>0</v>
      </c>
      <c r="L218" s="90"/>
      <c r="M218" s="92"/>
      <c r="N218" s="92"/>
      <c r="O218" s="92"/>
      <c r="P218" s="92"/>
      <c r="Q218" s="92"/>
      <c r="R218" s="92"/>
      <c r="S218" s="92"/>
      <c r="T218" s="92"/>
      <c r="U218" s="92"/>
      <c r="V218" s="92"/>
      <c r="W218" s="92"/>
      <c r="X218" s="91"/>
    </row>
    <row r="219" spans="4:24" hidden="1" x14ac:dyDescent="0.2">
      <c r="D219" t="s">
        <v>440</v>
      </c>
      <c r="E219">
        <v>3</v>
      </c>
      <c r="F219">
        <f>PodDop!J76</f>
        <v>218</v>
      </c>
      <c r="H219" s="49">
        <f t="shared" si="8"/>
        <v>0</v>
      </c>
      <c r="I219">
        <f t="shared" si="9"/>
        <v>0</v>
      </c>
      <c r="J219" s="90">
        <f>PodDop!K76</f>
        <v>0</v>
      </c>
      <c r="K219" s="91">
        <f>PodDop!L76</f>
        <v>0</v>
      </c>
      <c r="L219" s="90"/>
      <c r="M219" s="92"/>
      <c r="N219" s="92"/>
      <c r="O219" s="92"/>
      <c r="P219" s="92"/>
      <c r="Q219" s="92"/>
      <c r="R219" s="92"/>
      <c r="S219" s="92"/>
      <c r="T219" s="92"/>
      <c r="U219" s="92"/>
      <c r="V219" s="92"/>
      <c r="W219" s="92"/>
      <c r="X219" s="91"/>
    </row>
    <row r="220" spans="4:24" hidden="1" x14ac:dyDescent="0.2">
      <c r="D220" t="s">
        <v>440</v>
      </c>
      <c r="E220">
        <v>3</v>
      </c>
      <c r="F220">
        <f>PodDop!J77</f>
        <v>219</v>
      </c>
      <c r="H220" s="49">
        <f t="shared" si="8"/>
        <v>0</v>
      </c>
      <c r="I220">
        <f t="shared" si="9"/>
        <v>0</v>
      </c>
      <c r="J220" s="90">
        <f>PodDop!K77</f>
        <v>0</v>
      </c>
      <c r="K220" s="91">
        <f>PodDop!L77</f>
        <v>0</v>
      </c>
      <c r="L220" s="90"/>
      <c r="M220" s="92"/>
      <c r="N220" s="92"/>
      <c r="O220" s="92"/>
      <c r="P220" s="92"/>
      <c r="Q220" s="92"/>
      <c r="R220" s="92"/>
      <c r="S220" s="92"/>
      <c r="T220" s="92"/>
      <c r="U220" s="92"/>
      <c r="V220" s="92"/>
      <c r="W220" s="92"/>
      <c r="X220" s="91"/>
    </row>
    <row r="221" spans="4:24" hidden="1" x14ac:dyDescent="0.2">
      <c r="D221" t="s">
        <v>440</v>
      </c>
      <c r="E221">
        <v>3</v>
      </c>
      <c r="F221">
        <f>PodDop!J79</f>
        <v>220</v>
      </c>
      <c r="H221" s="49">
        <f t="shared" si="8"/>
        <v>0</v>
      </c>
      <c r="I221">
        <f t="shared" si="9"/>
        <v>0</v>
      </c>
      <c r="J221" s="90">
        <f>PodDop!K79</f>
        <v>0</v>
      </c>
      <c r="K221" s="91">
        <f>PodDop!L79</f>
        <v>0</v>
      </c>
      <c r="L221" s="90"/>
      <c r="M221" s="92"/>
      <c r="N221" s="92"/>
      <c r="O221" s="92"/>
      <c r="P221" s="92"/>
      <c r="Q221" s="92"/>
      <c r="R221" s="92"/>
      <c r="S221" s="92"/>
      <c r="T221" s="92"/>
      <c r="U221" s="92"/>
      <c r="V221" s="92"/>
      <c r="W221" s="92"/>
      <c r="X221" s="91"/>
    </row>
    <row r="222" spans="4:24" hidden="1" x14ac:dyDescent="0.2">
      <c r="D222" t="s">
        <v>440</v>
      </c>
      <c r="E222">
        <v>3</v>
      </c>
      <c r="F222">
        <f>PodDop!J80</f>
        <v>221</v>
      </c>
      <c r="H222" s="49">
        <f t="shared" si="8"/>
        <v>0</v>
      </c>
      <c r="I222">
        <f t="shared" si="9"/>
        <v>0</v>
      </c>
      <c r="J222" s="90">
        <f>PodDop!K80</f>
        <v>0</v>
      </c>
      <c r="K222" s="91">
        <f>PodDop!L80</f>
        <v>0</v>
      </c>
      <c r="L222" s="90"/>
      <c r="M222" s="92"/>
      <c r="N222" s="92"/>
      <c r="O222" s="92"/>
      <c r="P222" s="92"/>
      <c r="Q222" s="92"/>
      <c r="R222" s="92"/>
      <c r="S222" s="92"/>
      <c r="T222" s="92"/>
      <c r="U222" s="92"/>
      <c r="V222" s="92"/>
      <c r="W222" s="92"/>
      <c r="X222" s="91"/>
    </row>
    <row r="223" spans="4:24" hidden="1" x14ac:dyDescent="0.2">
      <c r="D223" t="s">
        <v>440</v>
      </c>
      <c r="E223">
        <v>3</v>
      </c>
      <c r="F223">
        <f>PodDop!J81</f>
        <v>222</v>
      </c>
      <c r="H223" s="49">
        <f t="shared" si="8"/>
        <v>0</v>
      </c>
      <c r="I223">
        <f t="shared" si="9"/>
        <v>0</v>
      </c>
      <c r="J223" s="90">
        <f>PodDop!K81</f>
        <v>0</v>
      </c>
      <c r="K223" s="91">
        <f>PodDop!L81</f>
        <v>0</v>
      </c>
      <c r="L223" s="90"/>
      <c r="M223" s="92"/>
      <c r="N223" s="92"/>
      <c r="O223" s="92"/>
      <c r="P223" s="92"/>
      <c r="Q223" s="92"/>
      <c r="R223" s="92"/>
      <c r="S223" s="92"/>
      <c r="T223" s="92"/>
      <c r="U223" s="92"/>
      <c r="V223" s="92"/>
      <c r="W223" s="92"/>
      <c r="X223" s="91"/>
    </row>
    <row r="224" spans="4:24" hidden="1" x14ac:dyDescent="0.2">
      <c r="D224" t="s">
        <v>440</v>
      </c>
      <c r="E224">
        <v>3</v>
      </c>
      <c r="F224">
        <f>PodDop!J82</f>
        <v>223</v>
      </c>
      <c r="H224" s="49">
        <f t="shared" si="8"/>
        <v>0</v>
      </c>
      <c r="I224">
        <f t="shared" si="9"/>
        <v>0</v>
      </c>
      <c r="J224" s="90">
        <f>PodDop!K82</f>
        <v>0</v>
      </c>
      <c r="K224" s="91">
        <f>PodDop!L82</f>
        <v>0</v>
      </c>
      <c r="L224" s="90"/>
      <c r="M224" s="92"/>
      <c r="N224" s="92"/>
      <c r="O224" s="92"/>
      <c r="P224" s="92"/>
      <c r="Q224" s="92"/>
      <c r="R224" s="92"/>
      <c r="S224" s="92"/>
      <c r="T224" s="92"/>
      <c r="U224" s="92"/>
      <c r="V224" s="92"/>
      <c r="W224" s="92"/>
      <c r="X224" s="91"/>
    </row>
    <row r="225" spans="4:24" hidden="1" x14ac:dyDescent="0.2">
      <c r="D225" t="s">
        <v>440</v>
      </c>
      <c r="E225">
        <v>3</v>
      </c>
      <c r="F225">
        <f>PodDop!J83</f>
        <v>224</v>
      </c>
      <c r="H225" s="49">
        <f t="shared" si="8"/>
        <v>0</v>
      </c>
      <c r="I225">
        <f t="shared" si="9"/>
        <v>0</v>
      </c>
      <c r="J225" s="90">
        <f>PodDop!K83</f>
        <v>0</v>
      </c>
      <c r="K225" s="91">
        <f>PodDop!L83</f>
        <v>0</v>
      </c>
      <c r="L225" s="90"/>
      <c r="M225" s="92"/>
      <c r="N225" s="92"/>
      <c r="O225" s="92"/>
      <c r="P225" s="92"/>
      <c r="Q225" s="92"/>
      <c r="R225" s="92"/>
      <c r="S225" s="92"/>
      <c r="T225" s="92"/>
      <c r="U225" s="92"/>
      <c r="V225" s="92"/>
      <c r="W225" s="92"/>
      <c r="X225" s="91"/>
    </row>
    <row r="226" spans="4:24" hidden="1" x14ac:dyDescent="0.2">
      <c r="D226" t="s">
        <v>440</v>
      </c>
      <c r="E226">
        <v>3</v>
      </c>
      <c r="F226">
        <f>PodDop!J84</f>
        <v>225</v>
      </c>
      <c r="H226" s="49">
        <f t="shared" si="8"/>
        <v>0</v>
      </c>
      <c r="I226">
        <f t="shared" si="9"/>
        <v>0</v>
      </c>
      <c r="J226" s="90">
        <f>PodDop!K84</f>
        <v>0</v>
      </c>
      <c r="K226" s="91">
        <f>PodDop!L84</f>
        <v>0</v>
      </c>
      <c r="L226" s="90"/>
      <c r="M226" s="92"/>
      <c r="N226" s="92"/>
      <c r="O226" s="92"/>
      <c r="P226" s="92"/>
      <c r="Q226" s="92"/>
      <c r="R226" s="92"/>
      <c r="S226" s="92"/>
      <c r="T226" s="92"/>
      <c r="U226" s="92"/>
      <c r="V226" s="92"/>
      <c r="W226" s="92"/>
      <c r="X226" s="91"/>
    </row>
    <row r="227" spans="4:24" hidden="1" x14ac:dyDescent="0.2">
      <c r="D227" t="s">
        <v>440</v>
      </c>
      <c r="E227">
        <v>3</v>
      </c>
      <c r="F227">
        <f>PodDop!J85</f>
        <v>226</v>
      </c>
      <c r="H227" s="49">
        <f t="shared" si="8"/>
        <v>0</v>
      </c>
      <c r="I227">
        <f t="shared" si="9"/>
        <v>0</v>
      </c>
      <c r="J227" s="90">
        <f>PodDop!K85</f>
        <v>0</v>
      </c>
      <c r="K227" s="91">
        <f>PodDop!L85</f>
        <v>0</v>
      </c>
      <c r="L227" s="90"/>
      <c r="M227" s="92"/>
      <c r="N227" s="92"/>
      <c r="O227" s="92"/>
      <c r="P227" s="92"/>
      <c r="Q227" s="92"/>
      <c r="R227" s="92"/>
      <c r="S227" s="92"/>
      <c r="T227" s="92"/>
      <c r="U227" s="92"/>
      <c r="V227" s="92"/>
      <c r="W227" s="92"/>
      <c r="X227" s="91"/>
    </row>
    <row r="228" spans="4:24" hidden="1" x14ac:dyDescent="0.2">
      <c r="D228" t="s">
        <v>440</v>
      </c>
      <c r="E228">
        <v>3</v>
      </c>
      <c r="F228">
        <f>PodDop!J86</f>
        <v>227</v>
      </c>
      <c r="H228" s="49">
        <f t="shared" si="8"/>
        <v>0</v>
      </c>
      <c r="I228">
        <f t="shared" si="9"/>
        <v>0</v>
      </c>
      <c r="J228" s="90">
        <f>PodDop!K86</f>
        <v>0</v>
      </c>
      <c r="K228" s="91">
        <f>PodDop!L86</f>
        <v>0</v>
      </c>
      <c r="L228" s="90"/>
      <c r="M228" s="92"/>
      <c r="N228" s="92"/>
      <c r="O228" s="92"/>
      <c r="P228" s="92"/>
      <c r="Q228" s="92"/>
      <c r="R228" s="92"/>
      <c r="S228" s="92"/>
      <c r="T228" s="92"/>
      <c r="U228" s="92"/>
      <c r="V228" s="92"/>
      <c r="W228" s="92"/>
      <c r="X228" s="91"/>
    </row>
    <row r="229" spans="4:24" hidden="1" x14ac:dyDescent="0.2">
      <c r="D229" t="s">
        <v>440</v>
      </c>
      <c r="E229">
        <v>3</v>
      </c>
      <c r="F229">
        <f>PodDop!J87</f>
        <v>228</v>
      </c>
      <c r="H229" s="49">
        <f t="shared" si="8"/>
        <v>0</v>
      </c>
      <c r="I229">
        <f t="shared" si="9"/>
        <v>0</v>
      </c>
      <c r="J229" s="90">
        <f>PodDop!K87</f>
        <v>0</v>
      </c>
      <c r="K229" s="91">
        <f>PodDop!L87</f>
        <v>0</v>
      </c>
      <c r="L229" s="90"/>
      <c r="M229" s="92"/>
      <c r="N229" s="92"/>
      <c r="O229" s="92"/>
      <c r="P229" s="92"/>
      <c r="Q229" s="92"/>
      <c r="R229" s="92"/>
      <c r="S229" s="92"/>
      <c r="T229" s="92"/>
      <c r="U229" s="92"/>
      <c r="V229" s="92"/>
      <c r="W229" s="92"/>
      <c r="X229" s="91"/>
    </row>
    <row r="230" spans="4:24" hidden="1" x14ac:dyDescent="0.2">
      <c r="D230" t="s">
        <v>440</v>
      </c>
      <c r="E230">
        <v>3</v>
      </c>
      <c r="F230">
        <f>PodDop!J88</f>
        <v>229</v>
      </c>
      <c r="H230" s="49">
        <f t="shared" si="8"/>
        <v>0</v>
      </c>
      <c r="I230">
        <f t="shared" si="9"/>
        <v>0</v>
      </c>
      <c r="J230" s="90">
        <f>PodDop!K88</f>
        <v>0</v>
      </c>
      <c r="K230" s="91">
        <f>PodDop!L88</f>
        <v>0</v>
      </c>
      <c r="L230" s="90"/>
      <c r="M230" s="92"/>
      <c r="N230" s="92"/>
      <c r="O230" s="92"/>
      <c r="P230" s="92"/>
      <c r="Q230" s="92"/>
      <c r="R230" s="92"/>
      <c r="S230" s="92"/>
      <c r="T230" s="92"/>
      <c r="U230" s="92"/>
      <c r="V230" s="92"/>
      <c r="W230" s="92"/>
      <c r="X230" s="91"/>
    </row>
    <row r="231" spans="4:24" hidden="1" x14ac:dyDescent="0.2">
      <c r="D231" t="s">
        <v>440</v>
      </c>
      <c r="E231">
        <v>3</v>
      </c>
      <c r="F231">
        <f>PodDop!J89</f>
        <v>230</v>
      </c>
      <c r="H231" s="49">
        <f t="shared" si="8"/>
        <v>0</v>
      </c>
      <c r="I231">
        <f t="shared" si="9"/>
        <v>0</v>
      </c>
      <c r="J231" s="90">
        <f>PodDop!K89</f>
        <v>0</v>
      </c>
      <c r="K231" s="91">
        <f>PodDop!L89</f>
        <v>0</v>
      </c>
      <c r="L231" s="90"/>
      <c r="M231" s="92"/>
      <c r="N231" s="92"/>
      <c r="O231" s="92"/>
      <c r="P231" s="92"/>
      <c r="Q231" s="92"/>
      <c r="R231" s="92"/>
      <c r="S231" s="92"/>
      <c r="T231" s="92"/>
      <c r="U231" s="92"/>
      <c r="V231" s="92"/>
      <c r="W231" s="92"/>
      <c r="X231" s="91"/>
    </row>
    <row r="232" spans="4:24" hidden="1" x14ac:dyDescent="0.2">
      <c r="D232" t="s">
        <v>440</v>
      </c>
      <c r="E232">
        <v>3</v>
      </c>
      <c r="F232">
        <f>PodDop!J90</f>
        <v>231</v>
      </c>
      <c r="H232" s="49">
        <f t="shared" si="8"/>
        <v>0</v>
      </c>
      <c r="I232">
        <f t="shared" si="9"/>
        <v>0</v>
      </c>
      <c r="J232" s="90">
        <f>PodDop!K90</f>
        <v>0</v>
      </c>
      <c r="K232" s="91">
        <f>PodDop!L90</f>
        <v>0</v>
      </c>
      <c r="L232" s="90"/>
      <c r="M232" s="92"/>
      <c r="N232" s="92"/>
      <c r="O232" s="92"/>
      <c r="P232" s="92"/>
      <c r="Q232" s="92"/>
      <c r="R232" s="92"/>
      <c r="S232" s="92"/>
      <c r="T232" s="92"/>
      <c r="U232" s="92"/>
      <c r="V232" s="92"/>
      <c r="W232" s="92"/>
      <c r="X232" s="91"/>
    </row>
    <row r="233" spans="4:24" hidden="1" x14ac:dyDescent="0.2">
      <c r="D233" t="s">
        <v>440</v>
      </c>
      <c r="E233">
        <v>3</v>
      </c>
      <c r="F233">
        <f>PodDop!J91</f>
        <v>232</v>
      </c>
      <c r="H233" s="49">
        <f t="shared" si="8"/>
        <v>0</v>
      </c>
      <c r="I233">
        <f t="shared" si="9"/>
        <v>0</v>
      </c>
      <c r="J233" s="90">
        <f>PodDop!K91</f>
        <v>0</v>
      </c>
      <c r="K233" s="91">
        <f>PodDop!L91</f>
        <v>0</v>
      </c>
      <c r="L233" s="90"/>
      <c r="M233" s="92"/>
      <c r="N233" s="92"/>
      <c r="O233" s="92"/>
      <c r="P233" s="92"/>
      <c r="Q233" s="92"/>
      <c r="R233" s="92"/>
      <c r="S233" s="92"/>
      <c r="T233" s="92"/>
      <c r="U233" s="92"/>
      <c r="V233" s="92"/>
      <c r="W233" s="92"/>
      <c r="X233" s="91"/>
    </row>
    <row r="234" spans="4:24" hidden="1" x14ac:dyDescent="0.2">
      <c r="D234" t="s">
        <v>440</v>
      </c>
      <c r="E234">
        <v>3</v>
      </c>
      <c r="F234">
        <f>PodDop!J92</f>
        <v>233</v>
      </c>
      <c r="H234" s="49">
        <f t="shared" si="8"/>
        <v>0</v>
      </c>
      <c r="I234">
        <f t="shared" si="9"/>
        <v>0</v>
      </c>
      <c r="J234" s="90">
        <f>PodDop!K92</f>
        <v>0</v>
      </c>
      <c r="K234" s="91">
        <f>PodDop!L92</f>
        <v>0</v>
      </c>
      <c r="L234" s="90"/>
      <c r="M234" s="92"/>
      <c r="N234" s="92"/>
      <c r="O234" s="92"/>
      <c r="P234" s="92"/>
      <c r="Q234" s="92"/>
      <c r="R234" s="92"/>
      <c r="S234" s="92"/>
      <c r="T234" s="92"/>
      <c r="U234" s="92"/>
      <c r="V234" s="92"/>
      <c r="W234" s="92"/>
      <c r="X234" s="91"/>
    </row>
    <row r="235" spans="4:24" hidden="1" x14ac:dyDescent="0.2">
      <c r="D235" t="s">
        <v>440</v>
      </c>
      <c r="E235">
        <v>3</v>
      </c>
      <c r="F235">
        <f>PodDop!J93</f>
        <v>234</v>
      </c>
      <c r="H235" s="49">
        <f t="shared" si="8"/>
        <v>0</v>
      </c>
      <c r="I235">
        <f t="shared" si="9"/>
        <v>0</v>
      </c>
      <c r="J235" s="90">
        <f>PodDop!K93</f>
        <v>0</v>
      </c>
      <c r="K235" s="91">
        <f>PodDop!L93</f>
        <v>0</v>
      </c>
      <c r="L235" s="90"/>
      <c r="M235" s="92"/>
      <c r="N235" s="92"/>
      <c r="O235" s="92"/>
      <c r="P235" s="92"/>
      <c r="Q235" s="92"/>
      <c r="R235" s="92"/>
      <c r="S235" s="92"/>
      <c r="T235" s="92"/>
      <c r="U235" s="92"/>
      <c r="V235" s="92"/>
      <c r="W235" s="92"/>
      <c r="X235" s="91"/>
    </row>
    <row r="236" spans="4:24" hidden="1" x14ac:dyDescent="0.2">
      <c r="D236" t="s">
        <v>440</v>
      </c>
      <c r="E236">
        <v>3</v>
      </c>
      <c r="F236">
        <f>PodDop!J94</f>
        <v>235</v>
      </c>
      <c r="H236" s="49">
        <f t="shared" si="8"/>
        <v>0</v>
      </c>
      <c r="I236">
        <f t="shared" si="9"/>
        <v>0</v>
      </c>
      <c r="J236" s="90">
        <f>PodDop!K94</f>
        <v>0</v>
      </c>
      <c r="K236" s="91">
        <f>PodDop!L94</f>
        <v>0</v>
      </c>
      <c r="L236" s="90"/>
      <c r="M236" s="92"/>
      <c r="N236" s="92"/>
      <c r="O236" s="92"/>
      <c r="P236" s="92"/>
      <c r="Q236" s="92"/>
      <c r="R236" s="92"/>
      <c r="S236" s="92"/>
      <c r="T236" s="92"/>
      <c r="U236" s="92"/>
      <c r="V236" s="92"/>
      <c r="W236" s="92"/>
      <c r="X236" s="91"/>
    </row>
    <row r="237" spans="4:24" hidden="1" x14ac:dyDescent="0.2">
      <c r="D237" t="s">
        <v>440</v>
      </c>
      <c r="E237">
        <v>3</v>
      </c>
      <c r="F237">
        <f>PodDop!J95</f>
        <v>236</v>
      </c>
      <c r="H237" s="49">
        <f t="shared" si="8"/>
        <v>0</v>
      </c>
      <c r="I237">
        <f t="shared" si="9"/>
        <v>0</v>
      </c>
      <c r="J237" s="90">
        <f>PodDop!K95</f>
        <v>0</v>
      </c>
      <c r="K237" s="91">
        <f>PodDop!L95</f>
        <v>0</v>
      </c>
      <c r="L237" s="90"/>
      <c r="M237" s="92"/>
      <c r="N237" s="92"/>
      <c r="O237" s="92"/>
      <c r="P237" s="92"/>
      <c r="Q237" s="92"/>
      <c r="R237" s="92"/>
      <c r="S237" s="92"/>
      <c r="T237" s="92"/>
      <c r="U237" s="92"/>
      <c r="V237" s="92"/>
      <c r="W237" s="92"/>
      <c r="X237" s="91"/>
    </row>
    <row r="238" spans="4:24" hidden="1" x14ac:dyDescent="0.2">
      <c r="D238" t="s">
        <v>440</v>
      </c>
      <c r="E238">
        <v>3</v>
      </c>
      <c r="F238">
        <f>PodDop!J96</f>
        <v>237</v>
      </c>
      <c r="H238" s="49">
        <f t="shared" si="8"/>
        <v>0</v>
      </c>
      <c r="I238">
        <f t="shared" si="9"/>
        <v>0</v>
      </c>
      <c r="J238" s="90">
        <f>PodDop!K96</f>
        <v>0</v>
      </c>
      <c r="K238" s="91">
        <f>PodDop!L96</f>
        <v>0</v>
      </c>
      <c r="L238" s="90"/>
      <c r="M238" s="92"/>
      <c r="N238" s="92"/>
      <c r="O238" s="92"/>
      <c r="P238" s="92"/>
      <c r="Q238" s="92"/>
      <c r="R238" s="92"/>
      <c r="S238" s="92"/>
      <c r="T238" s="92"/>
      <c r="U238" s="92"/>
      <c r="V238" s="92"/>
      <c r="W238" s="92"/>
      <c r="X238" s="91"/>
    </row>
    <row r="239" spans="4:24" hidden="1" x14ac:dyDescent="0.2">
      <c r="D239" t="s">
        <v>440</v>
      </c>
      <c r="E239">
        <v>3</v>
      </c>
      <c r="F239">
        <f>PodDop!J97</f>
        <v>238</v>
      </c>
      <c r="H239" s="49">
        <f t="shared" si="8"/>
        <v>0</v>
      </c>
      <c r="I239">
        <f t="shared" si="9"/>
        <v>0</v>
      </c>
      <c r="J239" s="90">
        <f>PodDop!K97</f>
        <v>0</v>
      </c>
      <c r="K239" s="91">
        <f>PodDop!L97</f>
        <v>0</v>
      </c>
      <c r="L239" s="90"/>
      <c r="M239" s="92"/>
      <c r="N239" s="92"/>
      <c r="O239" s="92"/>
      <c r="P239" s="92"/>
      <c r="Q239" s="92"/>
      <c r="R239" s="92"/>
      <c r="S239" s="92"/>
      <c r="T239" s="92"/>
      <c r="U239" s="92"/>
      <c r="V239" s="92"/>
      <c r="W239" s="92"/>
      <c r="X239" s="91"/>
    </row>
    <row r="240" spans="4:24" hidden="1" x14ac:dyDescent="0.2">
      <c r="D240" t="s">
        <v>440</v>
      </c>
      <c r="E240">
        <v>3</v>
      </c>
      <c r="F240">
        <f>PodDop!J98</f>
        <v>239</v>
      </c>
      <c r="H240" s="49">
        <f t="shared" si="8"/>
        <v>0</v>
      </c>
      <c r="I240">
        <f t="shared" si="9"/>
        <v>0</v>
      </c>
      <c r="J240" s="90">
        <f>PodDop!K98</f>
        <v>0</v>
      </c>
      <c r="K240" s="91">
        <f>PodDop!L98</f>
        <v>0</v>
      </c>
      <c r="L240" s="90"/>
      <c r="M240" s="92"/>
      <c r="N240" s="92"/>
      <c r="O240" s="92"/>
      <c r="P240" s="92"/>
      <c r="Q240" s="92"/>
      <c r="R240" s="92"/>
      <c r="S240" s="92"/>
      <c r="T240" s="92"/>
      <c r="U240" s="92"/>
      <c r="V240" s="92"/>
      <c r="W240" s="92"/>
      <c r="X240" s="91"/>
    </row>
    <row r="241" spans="4:24" hidden="1" x14ac:dyDescent="0.2">
      <c r="D241" t="s">
        <v>440</v>
      </c>
      <c r="E241">
        <v>3</v>
      </c>
      <c r="F241">
        <f>PodDop!J99</f>
        <v>240</v>
      </c>
      <c r="H241" s="49">
        <f t="shared" si="8"/>
        <v>0</v>
      </c>
      <c r="I241">
        <f t="shared" si="9"/>
        <v>0</v>
      </c>
      <c r="J241" s="90">
        <f>PodDop!K99</f>
        <v>0</v>
      </c>
      <c r="K241" s="91">
        <f>PodDop!L99</f>
        <v>0</v>
      </c>
      <c r="L241" s="90"/>
      <c r="M241" s="92"/>
      <c r="N241" s="92"/>
      <c r="O241" s="92"/>
      <c r="P241" s="92"/>
      <c r="Q241" s="92"/>
      <c r="R241" s="92"/>
      <c r="S241" s="92"/>
      <c r="T241" s="92"/>
      <c r="U241" s="92"/>
      <c r="V241" s="92"/>
      <c r="W241" s="92"/>
      <c r="X241" s="91"/>
    </row>
    <row r="242" spans="4:24" hidden="1" x14ac:dyDescent="0.2">
      <c r="D242" t="s">
        <v>440</v>
      </c>
      <c r="E242">
        <v>3</v>
      </c>
      <c r="F242">
        <f>PodDop!J100</f>
        <v>241</v>
      </c>
      <c r="H242" s="49">
        <f t="shared" si="8"/>
        <v>0</v>
      </c>
      <c r="I242">
        <f t="shared" si="9"/>
        <v>0</v>
      </c>
      <c r="J242" s="90">
        <f>PodDop!K100</f>
        <v>0</v>
      </c>
      <c r="K242" s="91">
        <f>PodDop!L100</f>
        <v>0</v>
      </c>
      <c r="L242" s="90"/>
      <c r="M242" s="92"/>
      <c r="N242" s="92"/>
      <c r="O242" s="92"/>
      <c r="P242" s="92"/>
      <c r="Q242" s="92"/>
      <c r="R242" s="92"/>
      <c r="S242" s="92"/>
      <c r="T242" s="92"/>
      <c r="U242" s="92"/>
      <c r="V242" s="92"/>
      <c r="W242" s="92"/>
      <c r="X242" s="91"/>
    </row>
    <row r="243" spans="4:24" hidden="1" x14ac:dyDescent="0.2">
      <c r="D243" t="s">
        <v>440</v>
      </c>
      <c r="E243">
        <v>3</v>
      </c>
      <c r="F243">
        <f>PodDop!J101</f>
        <v>242</v>
      </c>
      <c r="H243" s="49">
        <f t="shared" si="8"/>
        <v>0</v>
      </c>
      <c r="I243">
        <f t="shared" si="9"/>
        <v>0</v>
      </c>
      <c r="J243" s="90">
        <f>PodDop!K101</f>
        <v>0</v>
      </c>
      <c r="K243" s="91">
        <f>PodDop!L101</f>
        <v>0</v>
      </c>
      <c r="L243" s="90"/>
      <c r="M243" s="92"/>
      <c r="N243" s="92"/>
      <c r="O243" s="92"/>
      <c r="P243" s="92"/>
      <c r="Q243" s="92"/>
      <c r="R243" s="92"/>
      <c r="S243" s="92"/>
      <c r="T243" s="92"/>
      <c r="U243" s="92"/>
      <c r="V243" s="92"/>
      <c r="W243" s="92"/>
      <c r="X243" s="91"/>
    </row>
    <row r="244" spans="4:24" hidden="1" x14ac:dyDescent="0.2">
      <c r="D244" t="s">
        <v>440</v>
      </c>
      <c r="E244">
        <v>3</v>
      </c>
      <c r="F244">
        <f>PodDop!J102</f>
        <v>243</v>
      </c>
      <c r="H244" s="49">
        <f t="shared" si="8"/>
        <v>0</v>
      </c>
      <c r="I244">
        <f t="shared" si="9"/>
        <v>0</v>
      </c>
      <c r="J244" s="90">
        <f>PodDop!K102</f>
        <v>0</v>
      </c>
      <c r="K244" s="91">
        <f>PodDop!L102</f>
        <v>0</v>
      </c>
      <c r="L244" s="90"/>
      <c r="M244" s="92"/>
      <c r="N244" s="92"/>
      <c r="O244" s="92"/>
      <c r="P244" s="92"/>
      <c r="Q244" s="92"/>
      <c r="R244" s="92"/>
      <c r="S244" s="92"/>
      <c r="T244" s="92"/>
      <c r="U244" s="92"/>
      <c r="V244" s="92"/>
      <c r="W244" s="92"/>
      <c r="X244" s="91"/>
    </row>
    <row r="245" spans="4:24" hidden="1" x14ac:dyDescent="0.2">
      <c r="D245" t="s">
        <v>440</v>
      </c>
      <c r="E245">
        <v>3</v>
      </c>
      <c r="F245">
        <f>PodDop!J103</f>
        <v>244</v>
      </c>
      <c r="H245" s="49">
        <f t="shared" si="8"/>
        <v>0</v>
      </c>
      <c r="I245">
        <f t="shared" si="9"/>
        <v>0</v>
      </c>
      <c r="J245" s="90">
        <f>PodDop!K103</f>
        <v>0</v>
      </c>
      <c r="K245" s="91">
        <f>PodDop!L103</f>
        <v>0</v>
      </c>
      <c r="L245" s="90"/>
      <c r="M245" s="92"/>
      <c r="N245" s="92"/>
      <c r="O245" s="92"/>
      <c r="P245" s="92"/>
      <c r="Q245" s="92"/>
      <c r="R245" s="92"/>
      <c r="S245" s="92"/>
      <c r="T245" s="92"/>
      <c r="U245" s="92"/>
      <c r="V245" s="92"/>
      <c r="W245" s="92"/>
      <c r="X245" s="91"/>
    </row>
    <row r="246" spans="4:24" hidden="1" x14ac:dyDescent="0.2">
      <c r="D246" t="s">
        <v>440</v>
      </c>
      <c r="E246">
        <v>3</v>
      </c>
      <c r="F246">
        <f>PodDop!J104</f>
        <v>245</v>
      </c>
      <c r="H246" s="49">
        <f t="shared" si="8"/>
        <v>0</v>
      </c>
      <c r="I246">
        <f t="shared" si="9"/>
        <v>0</v>
      </c>
      <c r="J246" s="90">
        <f>PodDop!K104</f>
        <v>0</v>
      </c>
      <c r="K246" s="91">
        <f>PodDop!L104</f>
        <v>0</v>
      </c>
      <c r="L246" s="90"/>
      <c r="M246" s="92"/>
      <c r="N246" s="92"/>
      <c r="O246" s="92"/>
      <c r="P246" s="92"/>
      <c r="Q246" s="92"/>
      <c r="R246" s="92"/>
      <c r="S246" s="92"/>
      <c r="T246" s="92"/>
      <c r="U246" s="92"/>
      <c r="V246" s="92"/>
      <c r="W246" s="92"/>
      <c r="X246" s="91"/>
    </row>
    <row r="247" spans="4:24" hidden="1" x14ac:dyDescent="0.2">
      <c r="D247" t="s">
        <v>440</v>
      </c>
      <c r="E247">
        <v>3</v>
      </c>
      <c r="F247">
        <f>PodDop!J105</f>
        <v>246</v>
      </c>
      <c r="H247" s="49">
        <f t="shared" si="8"/>
        <v>0</v>
      </c>
      <c r="I247">
        <f t="shared" si="9"/>
        <v>0</v>
      </c>
      <c r="J247" s="90">
        <f>PodDop!K105</f>
        <v>0</v>
      </c>
      <c r="K247" s="91">
        <f>PodDop!L105</f>
        <v>0</v>
      </c>
      <c r="L247" s="90"/>
      <c r="M247" s="92"/>
      <c r="N247" s="92"/>
      <c r="O247" s="92"/>
      <c r="P247" s="92"/>
      <c r="Q247" s="92"/>
      <c r="R247" s="92"/>
      <c r="S247" s="92"/>
      <c r="T247" s="92"/>
      <c r="U247" s="92"/>
      <c r="V247" s="92"/>
      <c r="W247" s="92"/>
      <c r="X247" s="91"/>
    </row>
    <row r="248" spans="4:24" hidden="1" x14ac:dyDescent="0.2">
      <c r="D248" t="s">
        <v>440</v>
      </c>
      <c r="E248">
        <v>3</v>
      </c>
      <c r="F248">
        <f>PodDop!J106</f>
        <v>247</v>
      </c>
      <c r="H248" s="49">
        <f t="shared" si="8"/>
        <v>0</v>
      </c>
      <c r="I248">
        <f t="shared" si="9"/>
        <v>0</v>
      </c>
      <c r="J248" s="90">
        <f>PodDop!K106</f>
        <v>0</v>
      </c>
      <c r="K248" s="91">
        <f>PodDop!L106</f>
        <v>0</v>
      </c>
      <c r="L248" s="90"/>
      <c r="M248" s="92"/>
      <c r="N248" s="92"/>
      <c r="O248" s="92"/>
      <c r="P248" s="92"/>
      <c r="Q248" s="92"/>
      <c r="R248" s="92"/>
      <c r="S248" s="92"/>
      <c r="T248" s="92"/>
      <c r="U248" s="92"/>
      <c r="V248" s="92"/>
      <c r="W248" s="92"/>
      <c r="X248" s="91"/>
    </row>
    <row r="249" spans="4:24" hidden="1" x14ac:dyDescent="0.2">
      <c r="D249" t="s">
        <v>440</v>
      </c>
      <c r="E249">
        <v>3</v>
      </c>
      <c r="F249">
        <f>PodDop!J107</f>
        <v>248</v>
      </c>
      <c r="H249" s="49">
        <f t="shared" si="8"/>
        <v>0</v>
      </c>
      <c r="I249">
        <f t="shared" si="9"/>
        <v>0</v>
      </c>
      <c r="J249" s="90">
        <f>PodDop!K107</f>
        <v>0</v>
      </c>
      <c r="K249" s="91">
        <f>PodDop!L107</f>
        <v>0</v>
      </c>
      <c r="L249" s="90"/>
      <c r="M249" s="92"/>
      <c r="N249" s="92"/>
      <c r="O249" s="92"/>
      <c r="P249" s="92"/>
      <c r="Q249" s="92"/>
      <c r="R249" s="92"/>
      <c r="S249" s="92"/>
      <c r="T249" s="92"/>
      <c r="U249" s="92"/>
      <c r="V249" s="92"/>
      <c r="W249" s="92"/>
      <c r="X249" s="91"/>
    </row>
    <row r="250" spans="4:24" hidden="1" x14ac:dyDescent="0.2">
      <c r="D250" t="s">
        <v>440</v>
      </c>
      <c r="E250">
        <v>3</v>
      </c>
      <c r="F250">
        <f>PodDop!J108</f>
        <v>249</v>
      </c>
      <c r="H250" s="49">
        <f t="shared" si="8"/>
        <v>0</v>
      </c>
      <c r="I250">
        <f t="shared" si="9"/>
        <v>0</v>
      </c>
      <c r="J250" s="90">
        <f>PodDop!K108</f>
        <v>0</v>
      </c>
      <c r="K250" s="91">
        <f>PodDop!L108</f>
        <v>0</v>
      </c>
      <c r="L250" s="90"/>
      <c r="M250" s="92"/>
      <c r="N250" s="92"/>
      <c r="O250" s="92"/>
      <c r="P250" s="92"/>
      <c r="Q250" s="92"/>
      <c r="R250" s="92"/>
      <c r="S250" s="92"/>
      <c r="T250" s="92"/>
      <c r="U250" s="92"/>
      <c r="V250" s="92"/>
      <c r="W250" s="92"/>
      <c r="X250" s="91"/>
    </row>
    <row r="251" spans="4:24" hidden="1" x14ac:dyDescent="0.2">
      <c r="D251" t="s">
        <v>440</v>
      </c>
      <c r="E251">
        <v>3</v>
      </c>
      <c r="F251">
        <f>PodDop!J109</f>
        <v>250</v>
      </c>
      <c r="H251" s="49">
        <f t="shared" si="8"/>
        <v>0</v>
      </c>
      <c r="I251">
        <f t="shared" si="9"/>
        <v>0</v>
      </c>
      <c r="J251" s="90">
        <f>PodDop!K109</f>
        <v>0</v>
      </c>
      <c r="K251" s="91">
        <f>PodDop!L109</f>
        <v>0</v>
      </c>
      <c r="L251" s="90"/>
      <c r="M251" s="92"/>
      <c r="N251" s="92"/>
      <c r="O251" s="92"/>
      <c r="P251" s="92"/>
      <c r="Q251" s="92"/>
      <c r="R251" s="92"/>
      <c r="S251" s="92"/>
      <c r="T251" s="92"/>
      <c r="U251" s="92"/>
      <c r="V251" s="92"/>
      <c r="W251" s="92"/>
      <c r="X251" s="91"/>
    </row>
    <row r="252" spans="4:24" hidden="1" x14ac:dyDescent="0.2">
      <c r="D252" t="s">
        <v>440</v>
      </c>
      <c r="E252">
        <v>3</v>
      </c>
      <c r="F252">
        <f>PodDop!J110</f>
        <v>251</v>
      </c>
      <c r="H252" s="49">
        <f t="shared" si="8"/>
        <v>0</v>
      </c>
      <c r="I252">
        <f t="shared" si="9"/>
        <v>0</v>
      </c>
      <c r="J252" s="90">
        <f>PodDop!K110</f>
        <v>0</v>
      </c>
      <c r="K252" s="91">
        <f>PodDop!L110</f>
        <v>0</v>
      </c>
      <c r="L252" s="90"/>
      <c r="M252" s="92"/>
      <c r="N252" s="92"/>
      <c r="O252" s="92"/>
      <c r="P252" s="92"/>
      <c r="Q252" s="92"/>
      <c r="R252" s="92"/>
      <c r="S252" s="92"/>
      <c r="T252" s="92"/>
      <c r="U252" s="92"/>
      <c r="V252" s="92"/>
      <c r="W252" s="92"/>
      <c r="X252" s="91"/>
    </row>
    <row r="253" spans="4:24" hidden="1" x14ac:dyDescent="0.2">
      <c r="D253" t="s">
        <v>440</v>
      </c>
      <c r="E253">
        <v>3</v>
      </c>
      <c r="F253">
        <f>PodDop!J111</f>
        <v>252</v>
      </c>
      <c r="H253" s="49">
        <f t="shared" si="8"/>
        <v>0</v>
      </c>
      <c r="I253">
        <f t="shared" si="9"/>
        <v>0</v>
      </c>
      <c r="J253" s="90">
        <f>PodDop!K111</f>
        <v>0</v>
      </c>
      <c r="K253" s="91">
        <f>PodDop!L111</f>
        <v>0</v>
      </c>
      <c r="L253" s="90"/>
      <c r="M253" s="92"/>
      <c r="N253" s="92"/>
      <c r="O253" s="92"/>
      <c r="P253" s="92"/>
      <c r="Q253" s="92"/>
      <c r="R253" s="92"/>
      <c r="S253" s="92"/>
      <c r="T253" s="92"/>
      <c r="U253" s="92"/>
      <c r="V253" s="92"/>
      <c r="W253" s="92"/>
      <c r="X253" s="91"/>
    </row>
    <row r="254" spans="4:24" hidden="1" x14ac:dyDescent="0.2">
      <c r="D254" t="s">
        <v>440</v>
      </c>
      <c r="E254">
        <v>3</v>
      </c>
      <c r="F254">
        <f>PodDop!J112</f>
        <v>253</v>
      </c>
      <c r="H254" s="49">
        <f t="shared" si="8"/>
        <v>0</v>
      </c>
      <c r="I254">
        <f t="shared" si="9"/>
        <v>0</v>
      </c>
      <c r="J254" s="90">
        <f>PodDop!K112</f>
        <v>0</v>
      </c>
      <c r="K254" s="91">
        <f>PodDop!L112</f>
        <v>0</v>
      </c>
      <c r="L254" s="90"/>
      <c r="M254" s="92"/>
      <c r="N254" s="92"/>
      <c r="O254" s="92"/>
      <c r="P254" s="92"/>
      <c r="Q254" s="92"/>
      <c r="R254" s="92"/>
      <c r="S254" s="92"/>
      <c r="T254" s="92"/>
      <c r="U254" s="92"/>
      <c r="V254" s="92"/>
      <c r="W254" s="92"/>
      <c r="X254" s="91"/>
    </row>
    <row r="255" spans="4:24" hidden="1" x14ac:dyDescent="0.2">
      <c r="D255" t="s">
        <v>440</v>
      </c>
      <c r="E255">
        <v>3</v>
      </c>
      <c r="F255">
        <f>PodDop!J113</f>
        <v>254</v>
      </c>
      <c r="H255" s="49">
        <f t="shared" si="8"/>
        <v>0</v>
      </c>
      <c r="I255">
        <f t="shared" si="9"/>
        <v>0</v>
      </c>
      <c r="J255" s="90">
        <f>PodDop!K113</f>
        <v>0</v>
      </c>
      <c r="K255" s="91">
        <f>PodDop!L113</f>
        <v>0</v>
      </c>
      <c r="L255" s="90"/>
      <c r="M255" s="92"/>
      <c r="N255" s="92"/>
      <c r="O255" s="92"/>
      <c r="P255" s="92"/>
      <c r="Q255" s="92"/>
      <c r="R255" s="92"/>
      <c r="S255" s="92"/>
      <c r="T255" s="92"/>
      <c r="U255" s="92"/>
      <c r="V255" s="92"/>
      <c r="W255" s="92"/>
      <c r="X255" s="91"/>
    </row>
    <row r="256" spans="4:24" hidden="1" x14ac:dyDescent="0.2">
      <c r="D256" t="s">
        <v>440</v>
      </c>
      <c r="E256">
        <v>3</v>
      </c>
      <c r="F256">
        <f>PodDop!J114</f>
        <v>255</v>
      </c>
      <c r="H256" s="49">
        <f t="shared" si="8"/>
        <v>0</v>
      </c>
      <c r="I256">
        <f t="shared" si="9"/>
        <v>0</v>
      </c>
      <c r="J256" s="90">
        <f>PodDop!K114</f>
        <v>0</v>
      </c>
      <c r="K256" s="91">
        <f>PodDop!L114</f>
        <v>0</v>
      </c>
      <c r="L256" s="90"/>
      <c r="M256" s="92"/>
      <c r="N256" s="92"/>
      <c r="O256" s="92"/>
      <c r="P256" s="92"/>
      <c r="Q256" s="92"/>
      <c r="R256" s="92"/>
      <c r="S256" s="92"/>
      <c r="T256" s="92"/>
      <c r="U256" s="92"/>
      <c r="V256" s="92"/>
      <c r="W256" s="92"/>
      <c r="X256" s="91"/>
    </row>
    <row r="257" spans="4:24" hidden="1" x14ac:dyDescent="0.2">
      <c r="D257" t="s">
        <v>440</v>
      </c>
      <c r="E257">
        <v>3</v>
      </c>
      <c r="F257">
        <f>PodDop!J115</f>
        <v>256</v>
      </c>
      <c r="H257" s="49">
        <f t="shared" si="8"/>
        <v>0</v>
      </c>
      <c r="I257">
        <f t="shared" si="9"/>
        <v>0</v>
      </c>
      <c r="J257" s="90">
        <f>PodDop!K115</f>
        <v>0</v>
      </c>
      <c r="K257" s="91">
        <f>PodDop!L115</f>
        <v>0</v>
      </c>
      <c r="L257" s="90"/>
      <c r="M257" s="92"/>
      <c r="N257" s="92"/>
      <c r="O257" s="92"/>
      <c r="P257" s="92"/>
      <c r="Q257" s="92"/>
      <c r="R257" s="92"/>
      <c r="S257" s="92"/>
      <c r="T257" s="92"/>
      <c r="U257" s="92"/>
      <c r="V257" s="92"/>
      <c r="W257" s="92"/>
      <c r="X257" s="91"/>
    </row>
    <row r="258" spans="4:24" hidden="1" x14ac:dyDescent="0.2">
      <c r="D258" t="s">
        <v>440</v>
      </c>
      <c r="E258">
        <v>3</v>
      </c>
      <c r="F258">
        <f>PodDop!J116</f>
        <v>257</v>
      </c>
      <c r="H258" s="49">
        <f t="shared" ref="H258:H321" si="10">J258/100*F258+2*K258/100*F258</f>
        <v>0</v>
      </c>
      <c r="I258">
        <f t="shared" si="9"/>
        <v>0</v>
      </c>
      <c r="J258" s="90">
        <f>PodDop!K116</f>
        <v>0</v>
      </c>
      <c r="K258" s="91">
        <f>PodDop!L116</f>
        <v>0</v>
      </c>
      <c r="L258" s="90"/>
      <c r="M258" s="92"/>
      <c r="N258" s="92"/>
      <c r="O258" s="92"/>
      <c r="P258" s="92"/>
      <c r="Q258" s="92"/>
      <c r="R258" s="92"/>
      <c r="S258" s="92"/>
      <c r="T258" s="92"/>
      <c r="U258" s="92"/>
      <c r="V258" s="92"/>
      <c r="W258" s="92"/>
      <c r="X258" s="91"/>
    </row>
    <row r="259" spans="4:24" hidden="1" x14ac:dyDescent="0.2">
      <c r="D259" t="s">
        <v>440</v>
      </c>
      <c r="E259">
        <v>3</v>
      </c>
      <c r="F259">
        <f>PodDop!J117</f>
        <v>258</v>
      </c>
      <c r="H259" s="49">
        <f t="shared" si="10"/>
        <v>0</v>
      </c>
      <c r="I259">
        <f t="shared" ref="I259:I322" si="11">ABS(ROUND(J259,0)-J259)+ABS(ROUND(K259,0)-K259)</f>
        <v>0</v>
      </c>
      <c r="J259" s="90">
        <f>PodDop!K117</f>
        <v>0</v>
      </c>
      <c r="K259" s="91">
        <f>PodDop!L117</f>
        <v>0</v>
      </c>
      <c r="L259" s="90"/>
      <c r="M259" s="92"/>
      <c r="N259" s="92"/>
      <c r="O259" s="92"/>
      <c r="P259" s="92"/>
      <c r="Q259" s="92"/>
      <c r="R259" s="92"/>
      <c r="S259" s="92"/>
      <c r="T259" s="92"/>
      <c r="U259" s="92"/>
      <c r="V259" s="92"/>
      <c r="W259" s="92"/>
      <c r="X259" s="91"/>
    </row>
    <row r="260" spans="4:24" hidden="1" x14ac:dyDescent="0.2">
      <c r="D260" t="s">
        <v>440</v>
      </c>
      <c r="E260">
        <v>3</v>
      </c>
      <c r="F260">
        <f>PodDop!J118</f>
        <v>259</v>
      </c>
      <c r="H260" s="49">
        <f t="shared" si="10"/>
        <v>0</v>
      </c>
      <c r="I260">
        <f t="shared" si="11"/>
        <v>0</v>
      </c>
      <c r="J260" s="90">
        <f>PodDop!K118</f>
        <v>0</v>
      </c>
      <c r="K260" s="91">
        <f>PodDop!L118</f>
        <v>0</v>
      </c>
      <c r="L260" s="90"/>
      <c r="M260" s="92"/>
      <c r="N260" s="92"/>
      <c r="O260" s="92"/>
      <c r="P260" s="92"/>
      <c r="Q260" s="92"/>
      <c r="R260" s="92"/>
      <c r="S260" s="92"/>
      <c r="T260" s="92"/>
      <c r="U260" s="92"/>
      <c r="V260" s="92"/>
      <c r="W260" s="92"/>
      <c r="X260" s="91"/>
    </row>
    <row r="261" spans="4:24" hidden="1" x14ac:dyDescent="0.2">
      <c r="D261" t="s">
        <v>440</v>
      </c>
      <c r="E261">
        <v>3</v>
      </c>
      <c r="F261">
        <f>PodDop!J119</f>
        <v>260</v>
      </c>
      <c r="H261" s="49">
        <f t="shared" si="10"/>
        <v>0</v>
      </c>
      <c r="I261">
        <f t="shared" si="11"/>
        <v>0</v>
      </c>
      <c r="J261" s="90">
        <f>PodDop!K119</f>
        <v>0</v>
      </c>
      <c r="K261" s="91">
        <f>PodDop!L119</f>
        <v>0</v>
      </c>
      <c r="L261" s="90"/>
      <c r="M261" s="92"/>
      <c r="N261" s="92"/>
      <c r="O261" s="92"/>
      <c r="P261" s="92"/>
      <c r="Q261" s="92"/>
      <c r="R261" s="92"/>
      <c r="S261" s="92"/>
      <c r="T261" s="92"/>
      <c r="U261" s="92"/>
      <c r="V261" s="92"/>
      <c r="W261" s="92"/>
      <c r="X261" s="91"/>
    </row>
    <row r="262" spans="4:24" hidden="1" x14ac:dyDescent="0.2">
      <c r="D262" t="s">
        <v>440</v>
      </c>
      <c r="E262">
        <v>3</v>
      </c>
      <c r="F262">
        <f>PodDop!J120</f>
        <v>261</v>
      </c>
      <c r="H262" s="49">
        <f t="shared" si="10"/>
        <v>0</v>
      </c>
      <c r="I262">
        <f t="shared" si="11"/>
        <v>0</v>
      </c>
      <c r="J262" s="90">
        <f>PodDop!K120</f>
        <v>0</v>
      </c>
      <c r="K262" s="91">
        <f>PodDop!L120</f>
        <v>0</v>
      </c>
      <c r="L262" s="90"/>
      <c r="M262" s="92"/>
      <c r="N262" s="92"/>
      <c r="O262" s="92"/>
      <c r="P262" s="92"/>
      <c r="Q262" s="92"/>
      <c r="R262" s="92"/>
      <c r="S262" s="92"/>
      <c r="T262" s="92"/>
      <c r="U262" s="92"/>
      <c r="V262" s="92"/>
      <c r="W262" s="92"/>
      <c r="X262" s="91"/>
    </row>
    <row r="263" spans="4:24" hidden="1" x14ac:dyDescent="0.2">
      <c r="D263" t="s">
        <v>440</v>
      </c>
      <c r="E263">
        <v>3</v>
      </c>
      <c r="F263">
        <f>PodDop!J121</f>
        <v>262</v>
      </c>
      <c r="H263" s="49">
        <f t="shared" si="10"/>
        <v>0</v>
      </c>
      <c r="I263">
        <f t="shared" si="11"/>
        <v>0</v>
      </c>
      <c r="J263" s="90">
        <f>PodDop!K121</f>
        <v>0</v>
      </c>
      <c r="K263" s="91">
        <f>PodDop!L121</f>
        <v>0</v>
      </c>
      <c r="L263" s="90"/>
      <c r="M263" s="92"/>
      <c r="N263" s="92"/>
      <c r="O263" s="92"/>
      <c r="P263" s="92"/>
      <c r="Q263" s="92"/>
      <c r="R263" s="92"/>
      <c r="S263" s="92"/>
      <c r="T263" s="92"/>
      <c r="U263" s="92"/>
      <c r="V263" s="92"/>
      <c r="W263" s="92"/>
      <c r="X263" s="91"/>
    </row>
    <row r="264" spans="4:24" hidden="1" x14ac:dyDescent="0.2">
      <c r="D264" t="s">
        <v>440</v>
      </c>
      <c r="E264">
        <v>3</v>
      </c>
      <c r="F264">
        <f>PodDop!J122</f>
        <v>263</v>
      </c>
      <c r="H264" s="49">
        <f t="shared" si="10"/>
        <v>0</v>
      </c>
      <c r="I264">
        <f t="shared" si="11"/>
        <v>0</v>
      </c>
      <c r="J264" s="90">
        <f>PodDop!K122</f>
        <v>0</v>
      </c>
      <c r="K264" s="91">
        <f>PodDop!L122</f>
        <v>0</v>
      </c>
      <c r="L264" s="90"/>
      <c r="M264" s="92"/>
      <c r="N264" s="92"/>
      <c r="O264" s="92"/>
      <c r="P264" s="92"/>
      <c r="Q264" s="92"/>
      <c r="R264" s="92"/>
      <c r="S264" s="92"/>
      <c r="T264" s="92"/>
      <c r="U264" s="92"/>
      <c r="V264" s="92"/>
      <c r="W264" s="92"/>
      <c r="X264" s="91"/>
    </row>
    <row r="265" spans="4:24" hidden="1" x14ac:dyDescent="0.2">
      <c r="D265" t="s">
        <v>440</v>
      </c>
      <c r="E265">
        <v>3</v>
      </c>
      <c r="F265">
        <f>PodDop!J123</f>
        <v>264</v>
      </c>
      <c r="H265" s="49">
        <f t="shared" si="10"/>
        <v>0</v>
      </c>
      <c r="I265">
        <f t="shared" si="11"/>
        <v>0</v>
      </c>
      <c r="J265" s="90">
        <f>PodDop!K123</f>
        <v>0</v>
      </c>
      <c r="K265" s="91">
        <f>PodDop!L123</f>
        <v>0</v>
      </c>
      <c r="L265" s="90"/>
      <c r="M265" s="92"/>
      <c r="N265" s="92"/>
      <c r="O265" s="92"/>
      <c r="P265" s="92"/>
      <c r="Q265" s="92"/>
      <c r="R265" s="92"/>
      <c r="S265" s="92"/>
      <c r="T265" s="92"/>
      <c r="U265" s="92"/>
      <c r="V265" s="92"/>
      <c r="W265" s="92"/>
      <c r="X265" s="91"/>
    </row>
    <row r="266" spans="4:24" hidden="1" x14ac:dyDescent="0.2">
      <c r="D266" t="s">
        <v>440</v>
      </c>
      <c r="E266">
        <v>3</v>
      </c>
      <c r="F266">
        <f>PodDop!J124</f>
        <v>265</v>
      </c>
      <c r="H266" s="49">
        <f t="shared" si="10"/>
        <v>0</v>
      </c>
      <c r="I266">
        <f t="shared" si="11"/>
        <v>0</v>
      </c>
      <c r="J266" s="90">
        <f>PodDop!K124</f>
        <v>0</v>
      </c>
      <c r="K266" s="91">
        <f>PodDop!L124</f>
        <v>0</v>
      </c>
      <c r="L266" s="90"/>
      <c r="M266" s="92"/>
      <c r="N266" s="92"/>
      <c r="O266" s="92"/>
      <c r="P266" s="92"/>
      <c r="Q266" s="92"/>
      <c r="R266" s="92"/>
      <c r="S266" s="92"/>
      <c r="T266" s="92"/>
      <c r="U266" s="92"/>
      <c r="V266" s="92"/>
      <c r="W266" s="92"/>
      <c r="X266" s="91"/>
    </row>
    <row r="267" spans="4:24" hidden="1" x14ac:dyDescent="0.2">
      <c r="D267" t="s">
        <v>440</v>
      </c>
      <c r="E267">
        <v>3</v>
      </c>
      <c r="F267">
        <f>PodDop!J125</f>
        <v>266</v>
      </c>
      <c r="H267" s="49">
        <f t="shared" si="10"/>
        <v>0</v>
      </c>
      <c r="I267">
        <f t="shared" si="11"/>
        <v>0</v>
      </c>
      <c r="J267" s="90">
        <f>PodDop!K125</f>
        <v>0</v>
      </c>
      <c r="K267" s="91">
        <f>PodDop!L125</f>
        <v>0</v>
      </c>
      <c r="L267" s="90"/>
      <c r="M267" s="92"/>
      <c r="N267" s="92"/>
      <c r="O267" s="92"/>
      <c r="P267" s="92"/>
      <c r="Q267" s="92"/>
      <c r="R267" s="92"/>
      <c r="S267" s="92"/>
      <c r="T267" s="92"/>
      <c r="U267" s="92"/>
      <c r="V267" s="92"/>
      <c r="W267" s="92"/>
      <c r="X267" s="91"/>
    </row>
    <row r="268" spans="4:24" hidden="1" x14ac:dyDescent="0.2">
      <c r="D268" t="s">
        <v>440</v>
      </c>
      <c r="E268">
        <v>3</v>
      </c>
      <c r="F268">
        <f>PodDop!J126</f>
        <v>267</v>
      </c>
      <c r="H268" s="49">
        <f t="shared" si="10"/>
        <v>0</v>
      </c>
      <c r="I268">
        <f t="shared" si="11"/>
        <v>0</v>
      </c>
      <c r="J268" s="90">
        <f>PodDop!K126</f>
        <v>0</v>
      </c>
      <c r="K268" s="91">
        <f>PodDop!L126</f>
        <v>0</v>
      </c>
      <c r="L268" s="90"/>
      <c r="M268" s="92"/>
      <c r="N268" s="92"/>
      <c r="O268" s="92"/>
      <c r="P268" s="92"/>
      <c r="Q268" s="92"/>
      <c r="R268" s="92"/>
      <c r="S268" s="92"/>
      <c r="T268" s="92"/>
      <c r="U268" s="92"/>
      <c r="V268" s="92"/>
      <c r="W268" s="92"/>
      <c r="X268" s="91"/>
    </row>
    <row r="269" spans="4:24" hidden="1" x14ac:dyDescent="0.2">
      <c r="D269" t="s">
        <v>440</v>
      </c>
      <c r="E269">
        <v>3</v>
      </c>
      <c r="F269">
        <f>PodDop!J127</f>
        <v>268</v>
      </c>
      <c r="H269" s="49">
        <f t="shared" si="10"/>
        <v>0</v>
      </c>
      <c r="I269">
        <f t="shared" si="11"/>
        <v>0</v>
      </c>
      <c r="J269" s="90">
        <f>PodDop!K127</f>
        <v>0</v>
      </c>
      <c r="K269" s="91">
        <f>PodDop!L127</f>
        <v>0</v>
      </c>
      <c r="L269" s="90"/>
      <c r="M269" s="92"/>
      <c r="N269" s="92"/>
      <c r="O269" s="92"/>
      <c r="P269" s="92"/>
      <c r="Q269" s="92"/>
      <c r="R269" s="92"/>
      <c r="S269" s="92"/>
      <c r="T269" s="92"/>
      <c r="U269" s="92"/>
      <c r="V269" s="92"/>
      <c r="W269" s="92"/>
      <c r="X269" s="91"/>
    </row>
    <row r="270" spans="4:24" hidden="1" x14ac:dyDescent="0.2">
      <c r="D270" t="s">
        <v>440</v>
      </c>
      <c r="E270">
        <v>3</v>
      </c>
      <c r="F270">
        <f>PodDop!J129</f>
        <v>269</v>
      </c>
      <c r="H270" s="49">
        <f t="shared" si="10"/>
        <v>0</v>
      </c>
      <c r="I270">
        <f t="shared" si="11"/>
        <v>0</v>
      </c>
      <c r="J270" s="90">
        <f>PodDop!K129</f>
        <v>0</v>
      </c>
      <c r="K270" s="91">
        <f>PodDop!L129</f>
        <v>0</v>
      </c>
      <c r="L270" s="90"/>
      <c r="M270" s="92"/>
      <c r="N270" s="92"/>
      <c r="O270" s="92"/>
      <c r="P270" s="92"/>
      <c r="Q270" s="92"/>
      <c r="R270" s="92"/>
      <c r="S270" s="92"/>
      <c r="T270" s="92"/>
      <c r="U270" s="92"/>
      <c r="V270" s="92"/>
      <c r="W270" s="92"/>
      <c r="X270" s="91"/>
    </row>
    <row r="271" spans="4:24" hidden="1" x14ac:dyDescent="0.2">
      <c r="D271" t="s">
        <v>440</v>
      </c>
      <c r="E271">
        <v>3</v>
      </c>
      <c r="F271">
        <f>PodDop!J130</f>
        <v>270</v>
      </c>
      <c r="H271" s="49">
        <f t="shared" si="10"/>
        <v>0</v>
      </c>
      <c r="I271">
        <f t="shared" si="11"/>
        <v>0</v>
      </c>
      <c r="J271" s="90">
        <f>PodDop!K130</f>
        <v>0</v>
      </c>
      <c r="K271" s="91">
        <f>PodDop!L130</f>
        <v>0</v>
      </c>
      <c r="L271" s="90"/>
      <c r="M271" s="92"/>
      <c r="N271" s="92"/>
      <c r="O271" s="92"/>
      <c r="P271" s="92"/>
      <c r="Q271" s="92"/>
      <c r="R271" s="92"/>
      <c r="S271" s="92"/>
      <c r="T271" s="92"/>
      <c r="U271" s="92"/>
      <c r="V271" s="92"/>
      <c r="W271" s="92"/>
      <c r="X271" s="91"/>
    </row>
    <row r="272" spans="4:24" hidden="1" x14ac:dyDescent="0.2">
      <c r="D272" t="s">
        <v>440</v>
      </c>
      <c r="E272">
        <v>3</v>
      </c>
      <c r="F272">
        <f>PodDop!J131</f>
        <v>271</v>
      </c>
      <c r="H272" s="49">
        <f t="shared" si="10"/>
        <v>0</v>
      </c>
      <c r="I272">
        <f t="shared" si="11"/>
        <v>0</v>
      </c>
      <c r="J272" s="90">
        <f>PodDop!K131</f>
        <v>0</v>
      </c>
      <c r="K272" s="91">
        <f>PodDop!L131</f>
        <v>0</v>
      </c>
      <c r="L272" s="90"/>
      <c r="M272" s="92"/>
      <c r="N272" s="92"/>
      <c r="O272" s="92"/>
      <c r="P272" s="92"/>
      <c r="Q272" s="92"/>
      <c r="R272" s="92"/>
      <c r="S272" s="92"/>
      <c r="T272" s="92"/>
      <c r="U272" s="92"/>
      <c r="V272" s="92"/>
      <c r="W272" s="92"/>
      <c r="X272" s="91"/>
    </row>
    <row r="273" spans="4:24" hidden="1" x14ac:dyDescent="0.2">
      <c r="D273" t="s">
        <v>440</v>
      </c>
      <c r="E273">
        <v>3</v>
      </c>
      <c r="F273">
        <f>PodDop!J132</f>
        <v>272</v>
      </c>
      <c r="H273" s="49">
        <f t="shared" si="10"/>
        <v>0</v>
      </c>
      <c r="I273">
        <f t="shared" si="11"/>
        <v>0</v>
      </c>
      <c r="J273" s="90">
        <f>PodDop!K132</f>
        <v>0</v>
      </c>
      <c r="K273" s="91">
        <f>PodDop!L132</f>
        <v>0</v>
      </c>
      <c r="L273" s="90"/>
      <c r="M273" s="92"/>
      <c r="N273" s="92"/>
      <c r="O273" s="92"/>
      <c r="P273" s="92"/>
      <c r="Q273" s="92"/>
      <c r="R273" s="92"/>
      <c r="S273" s="92"/>
      <c r="T273" s="92"/>
      <c r="U273" s="92"/>
      <c r="V273" s="92"/>
      <c r="W273" s="92"/>
      <c r="X273" s="91"/>
    </row>
    <row r="274" spans="4:24" hidden="1" x14ac:dyDescent="0.2">
      <c r="D274" t="s">
        <v>440</v>
      </c>
      <c r="E274">
        <v>3</v>
      </c>
      <c r="F274">
        <f>PodDop!J133</f>
        <v>273</v>
      </c>
      <c r="H274" s="49">
        <f t="shared" si="10"/>
        <v>0</v>
      </c>
      <c r="I274">
        <f t="shared" si="11"/>
        <v>0</v>
      </c>
      <c r="J274" s="90">
        <f>PodDop!K133</f>
        <v>0</v>
      </c>
      <c r="K274" s="91">
        <f>PodDop!L133</f>
        <v>0</v>
      </c>
      <c r="L274" s="90"/>
      <c r="M274" s="92"/>
      <c r="N274" s="92"/>
      <c r="O274" s="92"/>
      <c r="P274" s="92"/>
      <c r="Q274" s="92"/>
      <c r="R274" s="92"/>
      <c r="S274" s="92"/>
      <c r="T274" s="92"/>
      <c r="U274" s="92"/>
      <c r="V274" s="92"/>
      <c r="W274" s="92"/>
      <c r="X274" s="91"/>
    </row>
    <row r="275" spans="4:24" hidden="1" x14ac:dyDescent="0.2">
      <c r="D275" t="s">
        <v>440</v>
      </c>
      <c r="E275">
        <v>3</v>
      </c>
      <c r="F275">
        <f>PodDop!J134</f>
        <v>274</v>
      </c>
      <c r="H275" s="49">
        <f t="shared" si="10"/>
        <v>0</v>
      </c>
      <c r="I275">
        <f t="shared" si="11"/>
        <v>0</v>
      </c>
      <c r="J275" s="90">
        <f>PodDop!K134</f>
        <v>0</v>
      </c>
      <c r="K275" s="91">
        <f>PodDop!L134</f>
        <v>0</v>
      </c>
      <c r="L275" s="90"/>
      <c r="M275" s="92"/>
      <c r="N275" s="92"/>
      <c r="O275" s="92"/>
      <c r="P275" s="92"/>
      <c r="Q275" s="92"/>
      <c r="R275" s="92"/>
      <c r="S275" s="92"/>
      <c r="T275" s="92"/>
      <c r="U275" s="92"/>
      <c r="V275" s="92"/>
      <c r="W275" s="92"/>
      <c r="X275" s="91"/>
    </row>
    <row r="276" spans="4:24" hidden="1" x14ac:dyDescent="0.2">
      <c r="D276" t="s">
        <v>440</v>
      </c>
      <c r="E276">
        <v>3</v>
      </c>
      <c r="F276">
        <f>PodDop!J135</f>
        <v>275</v>
      </c>
      <c r="H276" s="49">
        <f t="shared" si="10"/>
        <v>0</v>
      </c>
      <c r="I276">
        <f t="shared" si="11"/>
        <v>0</v>
      </c>
      <c r="J276" s="90">
        <f>PodDop!K135</f>
        <v>0</v>
      </c>
      <c r="K276" s="91">
        <f>PodDop!L135</f>
        <v>0</v>
      </c>
      <c r="L276" s="90"/>
      <c r="M276" s="92"/>
      <c r="N276" s="92"/>
      <c r="O276" s="92"/>
      <c r="P276" s="92"/>
      <c r="Q276" s="92"/>
      <c r="R276" s="92"/>
      <c r="S276" s="92"/>
      <c r="T276" s="92"/>
      <c r="U276" s="92"/>
      <c r="V276" s="92"/>
      <c r="W276" s="92"/>
      <c r="X276" s="91"/>
    </row>
    <row r="277" spans="4:24" hidden="1" x14ac:dyDescent="0.2">
      <c r="D277" t="s">
        <v>440</v>
      </c>
      <c r="E277">
        <v>3</v>
      </c>
      <c r="F277">
        <f>PodDop!J136</f>
        <v>276</v>
      </c>
      <c r="H277" s="49">
        <f t="shared" si="10"/>
        <v>0</v>
      </c>
      <c r="I277">
        <f t="shared" si="11"/>
        <v>0</v>
      </c>
      <c r="J277" s="90">
        <f>PodDop!K136</f>
        <v>0</v>
      </c>
      <c r="K277" s="91">
        <f>PodDop!L136</f>
        <v>0</v>
      </c>
      <c r="L277" s="90"/>
      <c r="M277" s="92"/>
      <c r="N277" s="92"/>
      <c r="O277" s="92"/>
      <c r="P277" s="92"/>
      <c r="Q277" s="92"/>
      <c r="R277" s="92"/>
      <c r="S277" s="92"/>
      <c r="T277" s="92"/>
      <c r="U277" s="92"/>
      <c r="V277" s="92"/>
      <c r="W277" s="92"/>
      <c r="X277" s="91"/>
    </row>
    <row r="278" spans="4:24" hidden="1" x14ac:dyDescent="0.2">
      <c r="D278" t="s">
        <v>440</v>
      </c>
      <c r="E278">
        <v>3</v>
      </c>
      <c r="F278">
        <f>PodDop!J137</f>
        <v>277</v>
      </c>
      <c r="H278" s="49">
        <f t="shared" si="10"/>
        <v>0</v>
      </c>
      <c r="I278">
        <f t="shared" si="11"/>
        <v>0</v>
      </c>
      <c r="J278" s="90">
        <f>PodDop!K137</f>
        <v>0</v>
      </c>
      <c r="K278" s="91">
        <f>PodDop!L137</f>
        <v>0</v>
      </c>
      <c r="L278" s="90"/>
      <c r="M278" s="92"/>
      <c r="N278" s="92"/>
      <c r="O278" s="92"/>
      <c r="P278" s="92"/>
      <c r="Q278" s="92"/>
      <c r="R278" s="92"/>
      <c r="S278" s="92"/>
      <c r="T278" s="92"/>
      <c r="U278" s="92"/>
      <c r="V278" s="92"/>
      <c r="W278" s="92"/>
      <c r="X278" s="91"/>
    </row>
    <row r="279" spans="4:24" hidden="1" x14ac:dyDescent="0.2">
      <c r="D279" t="s">
        <v>441</v>
      </c>
      <c r="E279">
        <v>4</v>
      </c>
      <c r="F279">
        <f>NT_I!I10</f>
        <v>1</v>
      </c>
      <c r="G279" t="str">
        <f>IF(NT_I!J10&lt;&gt;"",NT_I!J10,"")</f>
        <v/>
      </c>
      <c r="H279" s="49">
        <f t="shared" si="10"/>
        <v>282330</v>
      </c>
      <c r="I279">
        <f t="shared" si="11"/>
        <v>0</v>
      </c>
      <c r="J279" s="90">
        <f>NT_I!K10</f>
        <v>15831000</v>
      </c>
      <c r="K279" s="91">
        <f>NT_I!L10</f>
        <v>6201000</v>
      </c>
      <c r="L279" s="90"/>
      <c r="M279" s="92"/>
      <c r="N279" s="92"/>
      <c r="O279" s="92"/>
      <c r="P279" s="92"/>
      <c r="Q279" s="92"/>
      <c r="R279" s="92"/>
      <c r="S279" s="92"/>
      <c r="T279" s="92"/>
      <c r="U279" s="92"/>
      <c r="V279" s="92"/>
      <c r="W279" s="92"/>
      <c r="X279" s="91"/>
    </row>
    <row r="280" spans="4:24" hidden="1" x14ac:dyDescent="0.2">
      <c r="D280" t="s">
        <v>441</v>
      </c>
      <c r="E280">
        <v>4</v>
      </c>
      <c r="F280">
        <f>NT_I!I11</f>
        <v>2</v>
      </c>
      <c r="G280" t="str">
        <f>IF(NT_I!J11&lt;&gt;"",NT_I!J11,"")</f>
        <v/>
      </c>
      <c r="H280" s="49">
        <f t="shared" si="10"/>
        <v>2354980</v>
      </c>
      <c r="I280">
        <f t="shared" si="11"/>
        <v>0</v>
      </c>
      <c r="J280" s="90">
        <f>NT_I!K11</f>
        <v>37091000</v>
      </c>
      <c r="K280" s="91">
        <f>NT_I!L11</f>
        <v>40329000</v>
      </c>
      <c r="L280" s="90"/>
      <c r="M280" s="92"/>
      <c r="N280" s="92"/>
      <c r="O280" s="92"/>
      <c r="P280" s="92"/>
      <c r="Q280" s="92"/>
      <c r="R280" s="92"/>
      <c r="S280" s="92"/>
      <c r="T280" s="92"/>
      <c r="U280" s="92"/>
      <c r="V280" s="92"/>
      <c r="W280" s="92"/>
      <c r="X280" s="91"/>
    </row>
    <row r="281" spans="4:24" hidden="1" x14ac:dyDescent="0.2">
      <c r="D281" t="s">
        <v>441</v>
      </c>
      <c r="E281">
        <v>4</v>
      </c>
      <c r="F281">
        <f>NT_I!I12</f>
        <v>3</v>
      </c>
      <c r="G281" t="str">
        <f>IF(NT_I!J12&lt;&gt;"",NT_I!J12,"")</f>
        <v/>
      </c>
      <c r="H281" s="49">
        <f t="shared" si="10"/>
        <v>0</v>
      </c>
      <c r="I281">
        <f t="shared" si="11"/>
        <v>0</v>
      </c>
      <c r="J281" s="90">
        <f>NT_I!K12</f>
        <v>0</v>
      </c>
      <c r="K281" s="91">
        <f>NT_I!L12</f>
        <v>0</v>
      </c>
      <c r="L281" s="90"/>
      <c r="M281" s="92"/>
      <c r="N281" s="92"/>
      <c r="O281" s="92"/>
      <c r="P281" s="92"/>
      <c r="Q281" s="92"/>
      <c r="R281" s="92"/>
      <c r="S281" s="92"/>
      <c r="T281" s="92"/>
      <c r="U281" s="92"/>
      <c r="V281" s="92"/>
      <c r="W281" s="92"/>
      <c r="X281" s="91"/>
    </row>
    <row r="282" spans="4:24" hidden="1" x14ac:dyDescent="0.2">
      <c r="D282" t="s">
        <v>441</v>
      </c>
      <c r="E282">
        <v>4</v>
      </c>
      <c r="F282">
        <f>NT_I!I13</f>
        <v>4</v>
      </c>
      <c r="G282" t="str">
        <f>IF(NT_I!J13&lt;&gt;"",NT_I!J13,"")</f>
        <v/>
      </c>
      <c r="H282" s="49">
        <f t="shared" si="10"/>
        <v>15596520</v>
      </c>
      <c r="I282">
        <f t="shared" si="11"/>
        <v>0</v>
      </c>
      <c r="J282" s="90">
        <f>NT_I!K13</f>
        <v>98699000</v>
      </c>
      <c r="K282" s="91">
        <f>NT_I!L13</f>
        <v>145607000</v>
      </c>
      <c r="L282" s="90"/>
      <c r="M282" s="92"/>
      <c r="N282" s="92"/>
      <c r="O282" s="92"/>
      <c r="P282" s="92"/>
      <c r="Q282" s="92"/>
      <c r="R282" s="92"/>
      <c r="S282" s="92"/>
      <c r="T282" s="92"/>
      <c r="U282" s="92"/>
      <c r="V282" s="92"/>
      <c r="W282" s="92"/>
      <c r="X282" s="91"/>
    </row>
    <row r="283" spans="4:24" hidden="1" x14ac:dyDescent="0.2">
      <c r="D283" t="s">
        <v>441</v>
      </c>
      <c r="E283">
        <v>4</v>
      </c>
      <c r="F283">
        <f>NT_I!I14</f>
        <v>5</v>
      </c>
      <c r="G283" t="str">
        <f>IF(NT_I!J14&lt;&gt;"",NT_I!J14,"")</f>
        <v/>
      </c>
      <c r="H283" s="49">
        <f t="shared" si="10"/>
        <v>0</v>
      </c>
      <c r="I283">
        <f t="shared" si="11"/>
        <v>0</v>
      </c>
      <c r="J283" s="90">
        <f>NT_I!K14</f>
        <v>0</v>
      </c>
      <c r="K283" s="91">
        <f>NT_I!L14</f>
        <v>0</v>
      </c>
      <c r="L283" s="90"/>
      <c r="M283" s="92"/>
      <c r="N283" s="92"/>
      <c r="O283" s="92"/>
      <c r="P283" s="92"/>
      <c r="Q283" s="92"/>
      <c r="R283" s="92"/>
      <c r="S283" s="92"/>
      <c r="T283" s="92"/>
      <c r="U283" s="92"/>
      <c r="V283" s="92"/>
      <c r="W283" s="92"/>
      <c r="X283" s="91"/>
    </row>
    <row r="284" spans="4:24" hidden="1" x14ac:dyDescent="0.2">
      <c r="D284" t="s">
        <v>441</v>
      </c>
      <c r="E284">
        <v>4</v>
      </c>
      <c r="F284">
        <f>NT_I!I15</f>
        <v>6</v>
      </c>
      <c r="G284" t="str">
        <f>IF(NT_I!J15&lt;&gt;"",NT_I!J15,"")</f>
        <v/>
      </c>
      <c r="H284" s="49">
        <f t="shared" si="10"/>
        <v>6069120</v>
      </c>
      <c r="I284">
        <f t="shared" si="11"/>
        <v>0</v>
      </c>
      <c r="J284" s="90">
        <f>NT_I!K15</f>
        <v>0</v>
      </c>
      <c r="K284" s="91">
        <f>NT_I!L15</f>
        <v>50576000</v>
      </c>
      <c r="L284" s="90"/>
      <c r="M284" s="92"/>
      <c r="N284" s="92"/>
      <c r="O284" s="92"/>
      <c r="P284" s="92"/>
      <c r="Q284" s="92"/>
      <c r="R284" s="92"/>
      <c r="S284" s="92"/>
      <c r="T284" s="92"/>
      <c r="U284" s="92"/>
      <c r="V284" s="92"/>
      <c r="W284" s="92"/>
      <c r="X284" s="91"/>
    </row>
    <row r="285" spans="4:24" hidden="1" x14ac:dyDescent="0.2">
      <c r="D285" t="s">
        <v>441</v>
      </c>
      <c r="E285">
        <v>4</v>
      </c>
      <c r="F285">
        <f>NT_I!I16</f>
        <v>7</v>
      </c>
      <c r="G285" t="str">
        <f>IF(NT_I!J16&lt;&gt;"",NT_I!J16,"")</f>
        <v/>
      </c>
      <c r="H285" s="49">
        <f t="shared" si="10"/>
        <v>44593290</v>
      </c>
      <c r="I285">
        <f t="shared" si="11"/>
        <v>0</v>
      </c>
      <c r="J285" s="90">
        <f>NT_I!K16</f>
        <v>151621000</v>
      </c>
      <c r="K285" s="91">
        <f>NT_I!L16</f>
        <v>242713000</v>
      </c>
      <c r="L285" s="90"/>
      <c r="M285" s="92"/>
      <c r="N285" s="92"/>
      <c r="O285" s="92"/>
      <c r="P285" s="92"/>
      <c r="Q285" s="92"/>
      <c r="R285" s="92"/>
      <c r="S285" s="92"/>
      <c r="T285" s="92"/>
      <c r="U285" s="92"/>
      <c r="V285" s="92"/>
      <c r="W285" s="92"/>
      <c r="X285" s="91"/>
    </row>
    <row r="286" spans="4:24" hidden="1" x14ac:dyDescent="0.2">
      <c r="D286" t="s">
        <v>441</v>
      </c>
      <c r="E286">
        <v>4</v>
      </c>
      <c r="F286">
        <f>NT_I!I17</f>
        <v>8</v>
      </c>
      <c r="G286" t="str">
        <f>IF(NT_I!J17&lt;&gt;"",NT_I!J17,"")</f>
        <v/>
      </c>
      <c r="H286" s="49">
        <f t="shared" si="10"/>
        <v>20679200</v>
      </c>
      <c r="I286">
        <f t="shared" si="11"/>
        <v>0</v>
      </c>
      <c r="J286" s="90">
        <f>NT_I!K17</f>
        <v>33450000</v>
      </c>
      <c r="K286" s="91">
        <f>NT_I!L17</f>
        <v>112520000</v>
      </c>
      <c r="L286" s="90"/>
      <c r="M286" s="92"/>
      <c r="N286" s="92"/>
      <c r="O286" s="92"/>
      <c r="P286" s="92"/>
      <c r="Q286" s="92"/>
      <c r="R286" s="92"/>
      <c r="S286" s="92"/>
      <c r="T286" s="92"/>
      <c r="U286" s="92"/>
      <c r="V286" s="92"/>
      <c r="W286" s="92"/>
      <c r="X286" s="91"/>
    </row>
    <row r="287" spans="4:24" hidden="1" x14ac:dyDescent="0.2">
      <c r="D287" t="s">
        <v>441</v>
      </c>
      <c r="E287">
        <v>4</v>
      </c>
      <c r="F287">
        <f>NT_I!I18</f>
        <v>9</v>
      </c>
      <c r="G287" t="str">
        <f>IF(NT_I!J18&lt;&gt;"",NT_I!J18,"")</f>
        <v/>
      </c>
      <c r="H287" s="49">
        <f t="shared" si="10"/>
        <v>0</v>
      </c>
      <c r="I287">
        <f t="shared" si="11"/>
        <v>0</v>
      </c>
      <c r="J287" s="90">
        <f>NT_I!K18</f>
        <v>0</v>
      </c>
      <c r="K287" s="91">
        <f>NT_I!L18</f>
        <v>0</v>
      </c>
      <c r="L287" s="90"/>
      <c r="M287" s="92"/>
      <c r="N287" s="92"/>
      <c r="O287" s="92"/>
      <c r="P287" s="92"/>
      <c r="Q287" s="92"/>
      <c r="R287" s="92"/>
      <c r="S287" s="92"/>
      <c r="T287" s="92"/>
      <c r="U287" s="92"/>
      <c r="V287" s="92"/>
      <c r="W287" s="92"/>
      <c r="X287" s="91"/>
    </row>
    <row r="288" spans="4:24" hidden="1" x14ac:dyDescent="0.2">
      <c r="D288" t="s">
        <v>441</v>
      </c>
      <c r="E288">
        <v>4</v>
      </c>
      <c r="F288">
        <f>NT_I!I19</f>
        <v>10</v>
      </c>
      <c r="G288" t="str">
        <f>IF(NT_I!J19&lt;&gt;"",NT_I!J19,"")</f>
        <v/>
      </c>
      <c r="H288" s="49">
        <f t="shared" si="10"/>
        <v>14441800</v>
      </c>
      <c r="I288">
        <f t="shared" si="11"/>
        <v>0</v>
      </c>
      <c r="J288" s="90">
        <f>NT_I!K19</f>
        <v>31294000</v>
      </c>
      <c r="K288" s="91">
        <f>NT_I!L19</f>
        <v>56562000</v>
      </c>
      <c r="L288" s="90"/>
      <c r="M288" s="92"/>
      <c r="N288" s="92"/>
      <c r="O288" s="92"/>
      <c r="P288" s="92"/>
      <c r="Q288" s="92"/>
      <c r="R288" s="92"/>
      <c r="S288" s="92"/>
      <c r="T288" s="92"/>
      <c r="U288" s="92"/>
      <c r="V288" s="92"/>
      <c r="W288" s="92"/>
      <c r="X288" s="91"/>
    </row>
    <row r="289" spans="4:24" hidden="1" x14ac:dyDescent="0.2">
      <c r="D289" t="s">
        <v>441</v>
      </c>
      <c r="E289">
        <v>4</v>
      </c>
      <c r="F289">
        <f>NT_I!I20</f>
        <v>11</v>
      </c>
      <c r="G289" t="str">
        <f>IF(NT_I!J20&lt;&gt;"",NT_I!J20,"")</f>
        <v/>
      </c>
      <c r="H289" s="49">
        <f t="shared" si="10"/>
        <v>13326170</v>
      </c>
      <c r="I289">
        <f t="shared" si="11"/>
        <v>0</v>
      </c>
      <c r="J289" s="90">
        <f>NT_I!K20</f>
        <v>121147000</v>
      </c>
      <c r="K289" s="91">
        <f>NT_I!L20</f>
        <v>0</v>
      </c>
      <c r="L289" s="90"/>
      <c r="M289" s="92"/>
      <c r="N289" s="92"/>
      <c r="O289" s="92"/>
      <c r="P289" s="92"/>
      <c r="Q289" s="92"/>
      <c r="R289" s="92"/>
      <c r="S289" s="92"/>
      <c r="T289" s="92"/>
      <c r="U289" s="92"/>
      <c r="V289" s="92"/>
      <c r="W289" s="92"/>
      <c r="X289" s="91"/>
    </row>
    <row r="290" spans="4:24" hidden="1" x14ac:dyDescent="0.2">
      <c r="D290" t="s">
        <v>441</v>
      </c>
      <c r="E290">
        <v>4</v>
      </c>
      <c r="F290">
        <f>NT_I!I21</f>
        <v>12</v>
      </c>
      <c r="G290" t="str">
        <f>IF(NT_I!J21&lt;&gt;"",NT_I!J21,"")</f>
        <v/>
      </c>
      <c r="H290" s="49">
        <f t="shared" si="10"/>
        <v>62886600</v>
      </c>
      <c r="I290">
        <f t="shared" si="11"/>
        <v>0</v>
      </c>
      <c r="J290" s="90">
        <f>NT_I!K21</f>
        <v>185891000</v>
      </c>
      <c r="K290" s="91">
        <f>NT_I!L21</f>
        <v>169082000</v>
      </c>
      <c r="L290" s="90"/>
      <c r="M290" s="92"/>
      <c r="N290" s="92"/>
      <c r="O290" s="92"/>
      <c r="P290" s="92"/>
      <c r="Q290" s="92"/>
      <c r="R290" s="92"/>
      <c r="S290" s="92"/>
      <c r="T290" s="92"/>
      <c r="U290" s="92"/>
      <c r="V290" s="92"/>
      <c r="W290" s="92"/>
      <c r="X290" s="91"/>
    </row>
    <row r="291" spans="4:24" hidden="1" x14ac:dyDescent="0.2">
      <c r="D291" t="s">
        <v>441</v>
      </c>
      <c r="E291">
        <v>4</v>
      </c>
      <c r="F291">
        <f>NT_I!I22</f>
        <v>13</v>
      </c>
      <c r="G291" t="str">
        <f>IF(NT_I!J22&lt;&gt;"",NT_I!J22,"")</f>
        <v/>
      </c>
      <c r="H291" s="49">
        <f t="shared" si="10"/>
        <v>19144060</v>
      </c>
      <c r="I291">
        <f t="shared" si="11"/>
        <v>0</v>
      </c>
      <c r="J291" s="90">
        <f>NT_I!K22</f>
        <v>0</v>
      </c>
      <c r="K291" s="91">
        <f>NT_I!L22</f>
        <v>73631000</v>
      </c>
      <c r="L291" s="90"/>
      <c r="M291" s="92"/>
      <c r="N291" s="92"/>
      <c r="O291" s="92"/>
      <c r="P291" s="92"/>
      <c r="Q291" s="92"/>
      <c r="R291" s="92"/>
      <c r="S291" s="92"/>
      <c r="T291" s="92"/>
      <c r="U291" s="92"/>
      <c r="V291" s="92"/>
      <c r="W291" s="92"/>
      <c r="X291" s="91"/>
    </row>
    <row r="292" spans="4:24" hidden="1" x14ac:dyDescent="0.2">
      <c r="D292" t="s">
        <v>441</v>
      </c>
      <c r="E292">
        <v>4</v>
      </c>
      <c r="F292">
        <f>NT_I!I23</f>
        <v>14</v>
      </c>
      <c r="G292" t="str">
        <f>IF(NT_I!J23&lt;&gt;"",NT_I!J23,"")</f>
        <v/>
      </c>
      <c r="H292" s="49">
        <f t="shared" si="10"/>
        <v>4797800</v>
      </c>
      <c r="I292">
        <f t="shared" si="11"/>
        <v>0</v>
      </c>
      <c r="J292" s="90">
        <f>NT_I!K23</f>
        <v>34270000</v>
      </c>
      <c r="K292" s="91">
        <f>NT_I!L23</f>
        <v>0</v>
      </c>
      <c r="L292" s="90"/>
      <c r="M292" s="92"/>
      <c r="N292" s="92"/>
      <c r="O292" s="92"/>
      <c r="P292" s="92"/>
      <c r="Q292" s="92"/>
      <c r="R292" s="92"/>
      <c r="S292" s="92"/>
      <c r="T292" s="92"/>
      <c r="U292" s="92"/>
      <c r="V292" s="92"/>
      <c r="W292" s="92"/>
      <c r="X292" s="91"/>
    </row>
    <row r="293" spans="4:24" hidden="1" x14ac:dyDescent="0.2">
      <c r="D293" t="s">
        <v>441</v>
      </c>
      <c r="E293">
        <v>4</v>
      </c>
      <c r="F293">
        <f>NT_I!I25</f>
        <v>15</v>
      </c>
      <c r="G293" t="str">
        <f>IF(NT_I!J25&lt;&gt;"",NT_I!J25,"")</f>
        <v/>
      </c>
      <c r="H293" s="49">
        <f t="shared" si="10"/>
        <v>76500</v>
      </c>
      <c r="I293">
        <f t="shared" si="11"/>
        <v>0</v>
      </c>
      <c r="J293" s="90">
        <f>NT_I!K25</f>
        <v>102000</v>
      </c>
      <c r="K293" s="91">
        <f>NT_I!L25</f>
        <v>204000</v>
      </c>
      <c r="L293" s="90"/>
      <c r="M293" s="92"/>
      <c r="N293" s="92"/>
      <c r="O293" s="92"/>
      <c r="P293" s="92"/>
      <c r="Q293" s="92"/>
      <c r="R293" s="92"/>
      <c r="S293" s="92"/>
      <c r="T293" s="92"/>
      <c r="U293" s="92"/>
      <c r="V293" s="92"/>
      <c r="W293" s="92"/>
      <c r="X293" s="91"/>
    </row>
    <row r="294" spans="4:24" hidden="1" x14ac:dyDescent="0.2">
      <c r="D294" t="s">
        <v>441</v>
      </c>
      <c r="E294">
        <v>4</v>
      </c>
      <c r="F294">
        <f>NT_I!I26</f>
        <v>16</v>
      </c>
      <c r="G294" t="str">
        <f>IF(NT_I!J26&lt;&gt;"",NT_I!J26,"")</f>
        <v/>
      </c>
      <c r="H294" s="49">
        <f t="shared" si="10"/>
        <v>0</v>
      </c>
      <c r="I294">
        <f t="shared" si="11"/>
        <v>0</v>
      </c>
      <c r="J294" s="90">
        <f>NT_I!K26</f>
        <v>0</v>
      </c>
      <c r="K294" s="91">
        <f>NT_I!L26</f>
        <v>0</v>
      </c>
      <c r="L294" s="90"/>
      <c r="M294" s="92"/>
      <c r="N294" s="92"/>
      <c r="O294" s="92"/>
      <c r="P294" s="92"/>
      <c r="Q294" s="92"/>
      <c r="R294" s="92"/>
      <c r="S294" s="92"/>
      <c r="T294" s="92"/>
      <c r="U294" s="92"/>
      <c r="V294" s="92"/>
      <c r="W294" s="92"/>
      <c r="X294" s="91"/>
    </row>
    <row r="295" spans="4:24" hidden="1" x14ac:dyDescent="0.2">
      <c r="D295" t="s">
        <v>441</v>
      </c>
      <c r="E295">
        <v>4</v>
      </c>
      <c r="F295">
        <f>NT_I!I27</f>
        <v>17</v>
      </c>
      <c r="G295" t="str">
        <f>IF(NT_I!J27&lt;&gt;"",NT_I!J27,"")</f>
        <v/>
      </c>
      <c r="H295" s="49">
        <f t="shared" si="10"/>
        <v>0</v>
      </c>
      <c r="I295">
        <f t="shared" si="11"/>
        <v>0</v>
      </c>
      <c r="J295" s="90">
        <f>NT_I!K27</f>
        <v>0</v>
      </c>
      <c r="K295" s="91">
        <f>NT_I!L27</f>
        <v>0</v>
      </c>
      <c r="L295" s="90"/>
      <c r="M295" s="92"/>
      <c r="N295" s="92"/>
      <c r="O295" s="92"/>
      <c r="P295" s="92"/>
      <c r="Q295" s="92"/>
      <c r="R295" s="92"/>
      <c r="S295" s="92"/>
      <c r="T295" s="92"/>
      <c r="U295" s="92"/>
      <c r="V295" s="92"/>
      <c r="W295" s="92"/>
      <c r="X295" s="91"/>
    </row>
    <row r="296" spans="4:24" hidden="1" x14ac:dyDescent="0.2">
      <c r="D296" t="s">
        <v>441</v>
      </c>
      <c r="E296">
        <v>4</v>
      </c>
      <c r="F296">
        <f>NT_I!I28</f>
        <v>18</v>
      </c>
      <c r="G296" t="str">
        <f>IF(NT_I!J28&lt;&gt;"",NT_I!J28,"")</f>
        <v/>
      </c>
      <c r="H296" s="49">
        <f t="shared" si="10"/>
        <v>0</v>
      </c>
      <c r="I296">
        <f t="shared" si="11"/>
        <v>0</v>
      </c>
      <c r="J296" s="90">
        <f>NT_I!K28</f>
        <v>0</v>
      </c>
      <c r="K296" s="91">
        <f>NT_I!L28</f>
        <v>0</v>
      </c>
      <c r="L296" s="90"/>
      <c r="M296" s="92"/>
      <c r="N296" s="92"/>
      <c r="O296" s="92"/>
      <c r="P296" s="92"/>
      <c r="Q296" s="92"/>
      <c r="R296" s="92"/>
      <c r="S296" s="92"/>
      <c r="T296" s="92"/>
      <c r="U296" s="92"/>
      <c r="V296" s="92"/>
      <c r="W296" s="92"/>
      <c r="X296" s="91"/>
    </row>
    <row r="297" spans="4:24" hidden="1" x14ac:dyDescent="0.2">
      <c r="D297" t="s">
        <v>441</v>
      </c>
      <c r="E297">
        <v>4</v>
      </c>
      <c r="F297">
        <f>NT_I!I29</f>
        <v>19</v>
      </c>
      <c r="G297" t="str">
        <f>IF(NT_I!J29&lt;&gt;"",NT_I!J29,"")</f>
        <v/>
      </c>
      <c r="H297" s="49">
        <f t="shared" si="10"/>
        <v>2478360</v>
      </c>
      <c r="I297">
        <f t="shared" si="11"/>
        <v>0</v>
      </c>
      <c r="J297" s="90">
        <f>NT_I!K29</f>
        <v>0</v>
      </c>
      <c r="K297" s="91">
        <f>NT_I!L29</f>
        <v>6522000</v>
      </c>
      <c r="L297" s="90"/>
      <c r="M297" s="92"/>
      <c r="N297" s="92"/>
      <c r="O297" s="92"/>
      <c r="P297" s="92"/>
      <c r="Q297" s="92"/>
      <c r="R297" s="92"/>
      <c r="S297" s="92"/>
      <c r="T297" s="92"/>
      <c r="U297" s="92"/>
      <c r="V297" s="92"/>
      <c r="W297" s="92"/>
      <c r="X297" s="91"/>
    </row>
    <row r="298" spans="4:24" hidden="1" x14ac:dyDescent="0.2">
      <c r="D298" t="s">
        <v>441</v>
      </c>
      <c r="E298">
        <v>4</v>
      </c>
      <c r="F298">
        <f>NT_I!I30</f>
        <v>20</v>
      </c>
      <c r="G298" t="str">
        <f>IF(NT_I!J30&lt;&gt;"",NT_I!J30,"")</f>
        <v/>
      </c>
      <c r="H298" s="49">
        <f t="shared" si="10"/>
        <v>2710800</v>
      </c>
      <c r="I298">
        <f t="shared" si="11"/>
        <v>0</v>
      </c>
      <c r="J298" s="90">
        <f>NT_I!K30</f>
        <v>102000</v>
      </c>
      <c r="K298" s="91">
        <f>NT_I!L30</f>
        <v>6726000</v>
      </c>
      <c r="L298" s="90"/>
      <c r="M298" s="92"/>
      <c r="N298" s="92"/>
      <c r="O298" s="92"/>
      <c r="P298" s="92"/>
      <c r="Q298" s="92"/>
      <c r="R298" s="92"/>
      <c r="S298" s="92"/>
      <c r="T298" s="92"/>
      <c r="U298" s="92"/>
      <c r="V298" s="92"/>
      <c r="W298" s="92"/>
      <c r="X298" s="91"/>
    </row>
    <row r="299" spans="4:24" hidden="1" x14ac:dyDescent="0.2">
      <c r="D299" t="s">
        <v>441</v>
      </c>
      <c r="E299">
        <v>4</v>
      </c>
      <c r="F299">
        <f>NT_I!I31</f>
        <v>21</v>
      </c>
      <c r="G299" t="str">
        <f>IF(NT_I!J31&lt;&gt;"",NT_I!J31,"")</f>
        <v/>
      </c>
      <c r="H299" s="49">
        <f t="shared" si="10"/>
        <v>13227480</v>
      </c>
      <c r="I299">
        <f t="shared" si="11"/>
        <v>0</v>
      </c>
      <c r="J299" s="90">
        <f>NT_I!K31</f>
        <v>31480000</v>
      </c>
      <c r="K299" s="91">
        <f>NT_I!L31</f>
        <v>15754000</v>
      </c>
      <c r="L299" s="90"/>
      <c r="M299" s="92"/>
      <c r="N299" s="92"/>
      <c r="O299" s="92"/>
      <c r="P299" s="92"/>
      <c r="Q299" s="92"/>
      <c r="R299" s="92"/>
      <c r="S299" s="92"/>
      <c r="T299" s="92"/>
      <c r="U299" s="92"/>
      <c r="V299" s="92"/>
      <c r="W299" s="92"/>
      <c r="X299" s="91"/>
    </row>
    <row r="300" spans="4:24" hidden="1" x14ac:dyDescent="0.2">
      <c r="D300" t="s">
        <v>441</v>
      </c>
      <c r="E300">
        <v>4</v>
      </c>
      <c r="F300">
        <f>NT_I!I32</f>
        <v>22</v>
      </c>
      <c r="G300" t="str">
        <f>IF(NT_I!J32&lt;&gt;"",NT_I!J32,"")</f>
        <v/>
      </c>
      <c r="H300" s="49">
        <f t="shared" si="10"/>
        <v>0</v>
      </c>
      <c r="I300">
        <f t="shared" si="11"/>
        <v>0</v>
      </c>
      <c r="J300" s="90">
        <f>NT_I!K32</f>
        <v>0</v>
      </c>
      <c r="K300" s="91">
        <f>NT_I!L32</f>
        <v>0</v>
      </c>
      <c r="L300" s="90"/>
      <c r="M300" s="92"/>
      <c r="N300" s="92"/>
      <c r="O300" s="92"/>
      <c r="P300" s="92"/>
      <c r="Q300" s="92"/>
      <c r="R300" s="92"/>
      <c r="S300" s="92"/>
      <c r="T300" s="92"/>
      <c r="U300" s="92"/>
      <c r="V300" s="92"/>
      <c r="W300" s="92"/>
      <c r="X300" s="91"/>
    </row>
    <row r="301" spans="4:24" hidden="1" x14ac:dyDescent="0.2">
      <c r="D301" t="s">
        <v>441</v>
      </c>
      <c r="E301">
        <v>4</v>
      </c>
      <c r="F301">
        <f>NT_I!I33</f>
        <v>23</v>
      </c>
      <c r="G301" t="str">
        <f>IF(NT_I!J33&lt;&gt;"",NT_I!J33,"")</f>
        <v/>
      </c>
      <c r="H301" s="49">
        <f t="shared" si="10"/>
        <v>478630</v>
      </c>
      <c r="I301">
        <f t="shared" si="11"/>
        <v>0</v>
      </c>
      <c r="J301" s="90">
        <f>NT_I!K33</f>
        <v>2081000</v>
      </c>
      <c r="K301" s="91">
        <f>NT_I!L33</f>
        <v>0</v>
      </c>
      <c r="L301" s="90"/>
      <c r="M301" s="92"/>
      <c r="N301" s="92"/>
      <c r="O301" s="92"/>
      <c r="P301" s="92"/>
      <c r="Q301" s="92"/>
      <c r="R301" s="92"/>
      <c r="S301" s="92"/>
      <c r="T301" s="92"/>
      <c r="U301" s="92"/>
      <c r="V301" s="92"/>
      <c r="W301" s="92"/>
      <c r="X301" s="91"/>
    </row>
    <row r="302" spans="4:24" hidden="1" x14ac:dyDescent="0.2">
      <c r="D302" t="s">
        <v>441</v>
      </c>
      <c r="E302">
        <v>4</v>
      </c>
      <c r="F302">
        <f>NT_I!I34</f>
        <v>24</v>
      </c>
      <c r="G302" t="str">
        <f>IF(NT_I!J34&lt;&gt;"",NT_I!J34,"")</f>
        <v/>
      </c>
      <c r="H302" s="49">
        <f t="shared" si="10"/>
        <v>15616560</v>
      </c>
      <c r="I302">
        <f t="shared" si="11"/>
        <v>0</v>
      </c>
      <c r="J302" s="90">
        <f>NT_I!K34</f>
        <v>33561000</v>
      </c>
      <c r="K302" s="91">
        <f>NT_I!L34</f>
        <v>15754000</v>
      </c>
      <c r="L302" s="90"/>
      <c r="M302" s="92"/>
      <c r="N302" s="92"/>
      <c r="O302" s="92"/>
      <c r="P302" s="92"/>
      <c r="Q302" s="92"/>
      <c r="R302" s="92"/>
      <c r="S302" s="92"/>
      <c r="T302" s="92"/>
      <c r="U302" s="92"/>
      <c r="V302" s="92"/>
      <c r="W302" s="92"/>
      <c r="X302" s="91"/>
    </row>
    <row r="303" spans="4:24" hidden="1" x14ac:dyDescent="0.2">
      <c r="D303" t="s">
        <v>441</v>
      </c>
      <c r="E303">
        <v>4</v>
      </c>
      <c r="F303">
        <f>NT_I!I35</f>
        <v>25</v>
      </c>
      <c r="G303" t="str">
        <f>IF(NT_I!J35&lt;&gt;"",NT_I!J35,"")</f>
        <v/>
      </c>
      <c r="H303" s="49">
        <f t="shared" si="10"/>
        <v>0</v>
      </c>
      <c r="I303">
        <f t="shared" si="11"/>
        <v>0</v>
      </c>
      <c r="J303" s="90">
        <f>NT_I!K35</f>
        <v>0</v>
      </c>
      <c r="K303" s="91">
        <f>NT_I!L35</f>
        <v>0</v>
      </c>
      <c r="L303" s="90"/>
      <c r="M303" s="92"/>
      <c r="N303" s="92"/>
      <c r="O303" s="92"/>
      <c r="P303" s="92"/>
      <c r="Q303" s="92"/>
      <c r="R303" s="92"/>
      <c r="S303" s="92"/>
      <c r="T303" s="92"/>
      <c r="U303" s="92"/>
      <c r="V303" s="92"/>
      <c r="W303" s="92"/>
      <c r="X303" s="91"/>
    </row>
    <row r="304" spans="4:24" hidden="1" x14ac:dyDescent="0.2">
      <c r="D304" t="s">
        <v>441</v>
      </c>
      <c r="E304">
        <v>4</v>
      </c>
      <c r="F304">
        <f>NT_I!I36</f>
        <v>26</v>
      </c>
      <c r="G304" t="str">
        <f>IF(NT_I!J36&lt;&gt;"",NT_I!J36,"")</f>
        <v/>
      </c>
      <c r="H304" s="49">
        <f t="shared" si="10"/>
        <v>13393900</v>
      </c>
      <c r="I304">
        <f t="shared" si="11"/>
        <v>0</v>
      </c>
      <c r="J304" s="90">
        <f>NT_I!K36</f>
        <v>33459000</v>
      </c>
      <c r="K304" s="91">
        <f>NT_I!L36</f>
        <v>9028000</v>
      </c>
      <c r="L304" s="90"/>
      <c r="M304" s="92"/>
      <c r="N304" s="92"/>
      <c r="O304" s="92"/>
      <c r="P304" s="92"/>
      <c r="Q304" s="92"/>
      <c r="R304" s="92"/>
      <c r="S304" s="92"/>
      <c r="T304" s="92"/>
      <c r="U304" s="92"/>
      <c r="V304" s="92"/>
      <c r="W304" s="92"/>
      <c r="X304" s="91"/>
    </row>
    <row r="305" spans="4:24" hidden="1" x14ac:dyDescent="0.2">
      <c r="D305" t="s">
        <v>441</v>
      </c>
      <c r="E305">
        <v>4</v>
      </c>
      <c r="F305">
        <f>NT_I!I38</f>
        <v>27</v>
      </c>
      <c r="G305" t="str">
        <f>IF(NT_I!J38&lt;&gt;"",NT_I!J38,"")</f>
        <v/>
      </c>
      <c r="H305" s="49">
        <f t="shared" si="10"/>
        <v>0</v>
      </c>
      <c r="I305">
        <f t="shared" si="11"/>
        <v>0</v>
      </c>
      <c r="J305" s="90">
        <f>NT_I!K38</f>
        <v>0</v>
      </c>
      <c r="K305" s="91">
        <f>NT_I!L38</f>
        <v>0</v>
      </c>
      <c r="L305" s="90"/>
      <c r="M305" s="92"/>
      <c r="N305" s="92"/>
      <c r="O305" s="92"/>
      <c r="P305" s="92"/>
      <c r="Q305" s="92"/>
      <c r="R305" s="92"/>
      <c r="S305" s="92"/>
      <c r="T305" s="92"/>
      <c r="U305" s="92"/>
      <c r="V305" s="92"/>
      <c r="W305" s="92"/>
      <c r="X305" s="91"/>
    </row>
    <row r="306" spans="4:24" hidden="1" x14ac:dyDescent="0.2">
      <c r="D306" t="s">
        <v>441</v>
      </c>
      <c r="E306">
        <v>4</v>
      </c>
      <c r="F306">
        <f>NT_I!I39</f>
        <v>28</v>
      </c>
      <c r="G306" t="str">
        <f>IF(NT_I!J39&lt;&gt;"",NT_I!J39,"")</f>
        <v/>
      </c>
      <c r="H306" s="49">
        <f t="shared" si="10"/>
        <v>270445280</v>
      </c>
      <c r="I306">
        <f t="shared" si="11"/>
        <v>0</v>
      </c>
      <c r="J306" s="90">
        <f>NT_I!K39</f>
        <v>221902000</v>
      </c>
      <c r="K306" s="91">
        <f>NT_I!L39</f>
        <v>371987000</v>
      </c>
      <c r="L306" s="90"/>
      <c r="M306" s="92"/>
      <c r="N306" s="92"/>
      <c r="O306" s="92"/>
      <c r="P306" s="92"/>
      <c r="Q306" s="92"/>
      <c r="R306" s="92"/>
      <c r="S306" s="92"/>
      <c r="T306" s="92"/>
      <c r="U306" s="92"/>
      <c r="V306" s="92"/>
      <c r="W306" s="92"/>
      <c r="X306" s="91"/>
    </row>
    <row r="307" spans="4:24" hidden="1" x14ac:dyDescent="0.2">
      <c r="D307" t="s">
        <v>441</v>
      </c>
      <c r="E307">
        <v>4</v>
      </c>
      <c r="F307">
        <f>NT_I!I40</f>
        <v>29</v>
      </c>
      <c r="G307" t="str">
        <f>IF(NT_I!J40&lt;&gt;"",NT_I!J40,"")</f>
        <v/>
      </c>
      <c r="H307" s="49">
        <f t="shared" si="10"/>
        <v>0</v>
      </c>
      <c r="I307">
        <f t="shared" si="11"/>
        <v>0</v>
      </c>
      <c r="J307" s="90">
        <f>NT_I!K40</f>
        <v>0</v>
      </c>
      <c r="K307" s="91">
        <f>NT_I!L40</f>
        <v>0</v>
      </c>
      <c r="L307" s="90"/>
      <c r="M307" s="92"/>
      <c r="N307" s="92"/>
      <c r="O307" s="92"/>
      <c r="P307" s="92"/>
      <c r="Q307" s="92"/>
      <c r="R307" s="92"/>
      <c r="S307" s="92"/>
      <c r="T307" s="92"/>
      <c r="U307" s="92"/>
      <c r="V307" s="92"/>
      <c r="W307" s="92"/>
      <c r="X307" s="91"/>
    </row>
    <row r="308" spans="4:24" hidden="1" x14ac:dyDescent="0.2">
      <c r="D308" t="s">
        <v>441</v>
      </c>
      <c r="E308">
        <v>4</v>
      </c>
      <c r="F308">
        <f>NT_I!I41</f>
        <v>30</v>
      </c>
      <c r="G308" t="str">
        <f>IF(NT_I!J41&lt;&gt;"",NT_I!J41,"")</f>
        <v/>
      </c>
      <c r="H308" s="49">
        <f t="shared" si="10"/>
        <v>289762800</v>
      </c>
      <c r="I308">
        <f t="shared" si="11"/>
        <v>0</v>
      </c>
      <c r="J308" s="90">
        <f>NT_I!K41</f>
        <v>221902000</v>
      </c>
      <c r="K308" s="91">
        <f>NT_I!L41</f>
        <v>371987000</v>
      </c>
      <c r="L308" s="90"/>
      <c r="M308" s="92"/>
      <c r="N308" s="92"/>
      <c r="O308" s="92"/>
      <c r="P308" s="92"/>
      <c r="Q308" s="92"/>
      <c r="R308" s="92"/>
      <c r="S308" s="92"/>
      <c r="T308" s="92"/>
      <c r="U308" s="92"/>
      <c r="V308" s="92"/>
      <c r="W308" s="92"/>
      <c r="X308" s="91"/>
    </row>
    <row r="309" spans="4:24" hidden="1" x14ac:dyDescent="0.2">
      <c r="D309" t="s">
        <v>441</v>
      </c>
      <c r="E309">
        <v>4</v>
      </c>
      <c r="F309">
        <f>NT_I!I42</f>
        <v>31</v>
      </c>
      <c r="G309" t="str">
        <f>IF(NT_I!J42&lt;&gt;"",NT_I!J42,"")</f>
        <v/>
      </c>
      <c r="H309" s="49">
        <f t="shared" si="10"/>
        <v>302447780</v>
      </c>
      <c r="I309">
        <f t="shared" si="11"/>
        <v>0</v>
      </c>
      <c r="J309" s="90">
        <f>NT_I!K42</f>
        <v>180228000</v>
      </c>
      <c r="K309" s="91">
        <f>NT_I!L42</f>
        <v>397705000</v>
      </c>
      <c r="L309" s="90"/>
      <c r="M309" s="92"/>
      <c r="N309" s="92"/>
      <c r="O309" s="92"/>
      <c r="P309" s="92"/>
      <c r="Q309" s="92"/>
      <c r="R309" s="92"/>
      <c r="S309" s="92"/>
      <c r="T309" s="92"/>
      <c r="U309" s="92"/>
      <c r="V309" s="92"/>
      <c r="W309" s="92"/>
      <c r="X309" s="91"/>
    </row>
    <row r="310" spans="4:24" hidden="1" x14ac:dyDescent="0.2">
      <c r="D310" t="s">
        <v>441</v>
      </c>
      <c r="E310">
        <v>4</v>
      </c>
      <c r="F310">
        <f>NT_I!I43</f>
        <v>32</v>
      </c>
      <c r="G310" t="str">
        <f>IF(NT_I!J43&lt;&gt;"",NT_I!J43,"")</f>
        <v/>
      </c>
      <c r="H310" s="49">
        <f t="shared" si="10"/>
        <v>94720</v>
      </c>
      <c r="I310">
        <f t="shared" si="11"/>
        <v>0</v>
      </c>
      <c r="J310" s="90">
        <f>NT_I!K43</f>
        <v>286000</v>
      </c>
      <c r="K310" s="91">
        <f>NT_I!L43</f>
        <v>5000</v>
      </c>
      <c r="L310" s="90"/>
      <c r="M310" s="92"/>
      <c r="N310" s="92"/>
      <c r="O310" s="92"/>
      <c r="P310" s="92"/>
      <c r="Q310" s="92"/>
      <c r="R310" s="92"/>
      <c r="S310" s="92"/>
      <c r="T310" s="92"/>
      <c r="U310" s="92"/>
      <c r="V310" s="92"/>
      <c r="W310" s="92"/>
      <c r="X310" s="91"/>
    </row>
    <row r="311" spans="4:24" hidden="1" x14ac:dyDescent="0.2">
      <c r="D311" t="s">
        <v>441</v>
      </c>
      <c r="E311">
        <v>4</v>
      </c>
      <c r="F311">
        <f>NT_I!I44</f>
        <v>33</v>
      </c>
      <c r="G311" t="str">
        <f>IF(NT_I!J44&lt;&gt;"",NT_I!J44,"")</f>
        <v/>
      </c>
      <c r="H311" s="49">
        <f t="shared" si="10"/>
        <v>930600</v>
      </c>
      <c r="I311">
        <f t="shared" si="11"/>
        <v>0</v>
      </c>
      <c r="J311" s="90">
        <f>NT_I!K44</f>
        <v>752000</v>
      </c>
      <c r="K311" s="91">
        <f>NT_I!L44</f>
        <v>1034000</v>
      </c>
      <c r="L311" s="90"/>
      <c r="M311" s="92"/>
      <c r="N311" s="92"/>
      <c r="O311" s="92"/>
      <c r="P311" s="92"/>
      <c r="Q311" s="92"/>
      <c r="R311" s="92"/>
      <c r="S311" s="92"/>
      <c r="T311" s="92"/>
      <c r="U311" s="92"/>
      <c r="V311" s="92"/>
      <c r="W311" s="92"/>
      <c r="X311" s="91"/>
    </row>
    <row r="312" spans="4:24" hidden="1" x14ac:dyDescent="0.2">
      <c r="D312" t="s">
        <v>441</v>
      </c>
      <c r="E312">
        <v>4</v>
      </c>
      <c r="F312">
        <f>NT_I!I45</f>
        <v>34</v>
      </c>
      <c r="G312" t="str">
        <f>IF(NT_I!J45&lt;&gt;"",NT_I!J45,"")</f>
        <v/>
      </c>
      <c r="H312" s="49">
        <f t="shared" si="10"/>
        <v>7601040</v>
      </c>
      <c r="I312">
        <f t="shared" si="11"/>
        <v>0</v>
      </c>
      <c r="J312" s="90">
        <f>NT_I!K45</f>
        <v>9576000</v>
      </c>
      <c r="K312" s="91">
        <f>NT_I!L45</f>
        <v>6390000</v>
      </c>
      <c r="L312" s="90"/>
      <c r="M312" s="92"/>
      <c r="N312" s="92"/>
      <c r="O312" s="92"/>
      <c r="P312" s="92"/>
      <c r="Q312" s="92"/>
      <c r="R312" s="92"/>
      <c r="S312" s="92"/>
      <c r="T312" s="92"/>
      <c r="U312" s="92"/>
      <c r="V312" s="92"/>
      <c r="W312" s="92"/>
      <c r="X312" s="91"/>
    </row>
    <row r="313" spans="4:24" hidden="1" x14ac:dyDescent="0.2">
      <c r="D313" t="s">
        <v>441</v>
      </c>
      <c r="E313">
        <v>4</v>
      </c>
      <c r="F313">
        <f>NT_I!I46</f>
        <v>35</v>
      </c>
      <c r="G313" t="str">
        <f>IF(NT_I!J46&lt;&gt;"",NT_I!J46,"")</f>
        <v/>
      </c>
      <c r="H313" s="49">
        <f t="shared" si="10"/>
        <v>9345350</v>
      </c>
      <c r="I313">
        <f t="shared" si="11"/>
        <v>0</v>
      </c>
      <c r="J313" s="90">
        <f>NT_I!K46</f>
        <v>8911000</v>
      </c>
      <c r="K313" s="91">
        <f>NT_I!L46</f>
        <v>8895000</v>
      </c>
      <c r="L313" s="90"/>
      <c r="M313" s="92"/>
      <c r="N313" s="92"/>
      <c r="O313" s="92"/>
      <c r="P313" s="92"/>
      <c r="Q313" s="92"/>
      <c r="R313" s="92"/>
      <c r="S313" s="92"/>
      <c r="T313" s="92"/>
      <c r="U313" s="92"/>
      <c r="V313" s="92"/>
      <c r="W313" s="92"/>
      <c r="X313" s="91"/>
    </row>
    <row r="314" spans="4:24" hidden="1" x14ac:dyDescent="0.2">
      <c r="D314" t="s">
        <v>441</v>
      </c>
      <c r="E314">
        <v>4</v>
      </c>
      <c r="F314">
        <f>NT_I!I47</f>
        <v>36</v>
      </c>
      <c r="G314" t="str">
        <f>IF(NT_I!J47&lt;&gt;"",NT_I!J47,"")</f>
        <v/>
      </c>
      <c r="H314" s="49">
        <f t="shared" si="10"/>
        <v>370011960</v>
      </c>
      <c r="I314">
        <f t="shared" si="11"/>
        <v>0</v>
      </c>
      <c r="J314" s="90">
        <f>NT_I!K47</f>
        <v>199753000</v>
      </c>
      <c r="K314" s="91">
        <f>NT_I!L47</f>
        <v>414029000</v>
      </c>
      <c r="L314" s="90"/>
      <c r="M314" s="92"/>
      <c r="N314" s="92"/>
      <c r="O314" s="92"/>
      <c r="P314" s="92"/>
      <c r="Q314" s="92"/>
      <c r="R314" s="92"/>
      <c r="S314" s="92"/>
      <c r="T314" s="92"/>
      <c r="U314" s="92"/>
      <c r="V314" s="92"/>
      <c r="W314" s="92"/>
      <c r="X314" s="91"/>
    </row>
    <row r="315" spans="4:24" hidden="1" x14ac:dyDescent="0.2">
      <c r="D315" t="s">
        <v>441</v>
      </c>
      <c r="E315">
        <v>4</v>
      </c>
      <c r="F315">
        <f>NT_I!I48</f>
        <v>37</v>
      </c>
      <c r="G315" t="str">
        <f>IF(NT_I!J48&lt;&gt;"",NT_I!J48,"")</f>
        <v/>
      </c>
      <c r="H315" s="49">
        <f t="shared" si="10"/>
        <v>8195130</v>
      </c>
      <c r="I315">
        <f t="shared" si="11"/>
        <v>0</v>
      </c>
      <c r="J315" s="90">
        <f>NT_I!K48</f>
        <v>22149000</v>
      </c>
      <c r="K315" s="91">
        <f>NT_I!L48</f>
        <v>0</v>
      </c>
      <c r="L315" s="90"/>
      <c r="M315" s="92"/>
      <c r="N315" s="92"/>
      <c r="O315" s="92"/>
      <c r="P315" s="92"/>
      <c r="Q315" s="92"/>
      <c r="R315" s="92"/>
      <c r="S315" s="92"/>
      <c r="T315" s="92"/>
      <c r="U315" s="92"/>
      <c r="V315" s="92"/>
      <c r="W315" s="92"/>
      <c r="X315" s="91"/>
    </row>
    <row r="316" spans="4:24" hidden="1" x14ac:dyDescent="0.2">
      <c r="D316" t="s">
        <v>441</v>
      </c>
      <c r="E316">
        <v>4</v>
      </c>
      <c r="F316">
        <f>NT_I!I49</f>
        <v>38</v>
      </c>
      <c r="G316" t="str">
        <f>IF(NT_I!J49&lt;&gt;"",NT_I!J49,"")</f>
        <v/>
      </c>
      <c r="H316" s="49">
        <f t="shared" si="10"/>
        <v>31951920</v>
      </c>
      <c r="I316">
        <f t="shared" si="11"/>
        <v>0</v>
      </c>
      <c r="J316" s="90">
        <f>NT_I!K49</f>
        <v>0</v>
      </c>
      <c r="K316" s="91">
        <f>NT_I!L49</f>
        <v>42042000</v>
      </c>
      <c r="L316" s="90"/>
      <c r="M316" s="92"/>
      <c r="N316" s="92"/>
      <c r="O316" s="92"/>
      <c r="P316" s="92"/>
      <c r="Q316" s="92"/>
      <c r="R316" s="92"/>
      <c r="S316" s="92"/>
      <c r="T316" s="92"/>
      <c r="U316" s="92"/>
      <c r="V316" s="92"/>
      <c r="W316" s="92"/>
      <c r="X316" s="91"/>
    </row>
    <row r="317" spans="4:24" hidden="1" x14ac:dyDescent="0.2">
      <c r="D317" t="s">
        <v>441</v>
      </c>
      <c r="E317">
        <v>4</v>
      </c>
      <c r="F317">
        <f>NT_I!I50</f>
        <v>39</v>
      </c>
      <c r="G317" t="str">
        <f>IF(NT_I!J50&lt;&gt;"",NT_I!J50,"")</f>
        <v/>
      </c>
      <c r="H317" s="49">
        <f t="shared" si="10"/>
        <v>17597580</v>
      </c>
      <c r="I317">
        <f t="shared" si="11"/>
        <v>0</v>
      </c>
      <c r="J317" s="90">
        <f>NT_I!K50</f>
        <v>0</v>
      </c>
      <c r="K317" s="91">
        <f>NT_I!L50</f>
        <v>22561000</v>
      </c>
      <c r="L317" s="90"/>
      <c r="M317" s="92"/>
      <c r="N317" s="92"/>
      <c r="O317" s="92"/>
      <c r="P317" s="92"/>
      <c r="Q317" s="92"/>
      <c r="R317" s="92"/>
      <c r="S317" s="92"/>
      <c r="T317" s="92"/>
      <c r="U317" s="92"/>
      <c r="V317" s="92"/>
      <c r="W317" s="92"/>
      <c r="X317" s="91"/>
    </row>
    <row r="318" spans="4:24" hidden="1" x14ac:dyDescent="0.2">
      <c r="D318" t="s">
        <v>441</v>
      </c>
      <c r="E318">
        <v>4</v>
      </c>
      <c r="F318">
        <f>NT_I!I51</f>
        <v>40</v>
      </c>
      <c r="G318" t="str">
        <f>IF(NT_I!J51&lt;&gt;"",NT_I!J51,"")</f>
        <v/>
      </c>
      <c r="H318" s="49">
        <f t="shared" si="10"/>
        <v>18232000</v>
      </c>
      <c r="I318">
        <f t="shared" si="11"/>
        <v>0</v>
      </c>
      <c r="J318" s="90">
        <f>NT_I!K51</f>
        <v>45580000</v>
      </c>
      <c r="K318" s="91">
        <f>NT_I!L51</f>
        <v>0</v>
      </c>
      <c r="L318" s="90"/>
      <c r="M318" s="92"/>
      <c r="N318" s="92"/>
      <c r="O318" s="92"/>
      <c r="P318" s="92"/>
      <c r="Q318" s="92"/>
      <c r="R318" s="92"/>
      <c r="S318" s="92"/>
      <c r="T318" s="92"/>
      <c r="U318" s="92"/>
      <c r="V318" s="92"/>
      <c r="W318" s="92"/>
      <c r="X318" s="91"/>
    </row>
    <row r="319" spans="4:24" hidden="1" x14ac:dyDescent="0.2">
      <c r="D319" t="s">
        <v>441</v>
      </c>
      <c r="E319">
        <v>4</v>
      </c>
      <c r="F319">
        <f>NT_I!I52</f>
        <v>41</v>
      </c>
      <c r="G319" t="str">
        <f>IF(NT_I!J52&lt;&gt;"",NT_I!J52,"")</f>
        <v/>
      </c>
      <c r="H319" s="49">
        <f t="shared" si="10"/>
        <v>268044470</v>
      </c>
      <c r="I319">
        <f t="shared" si="11"/>
        <v>0</v>
      </c>
      <c r="J319" s="90">
        <f>NT_I!K52</f>
        <v>112549000</v>
      </c>
      <c r="K319" s="91">
        <f>NT_I!L52</f>
        <v>270609000</v>
      </c>
      <c r="L319" s="90"/>
      <c r="M319" s="92"/>
      <c r="N319" s="92"/>
      <c r="O319" s="92"/>
      <c r="P319" s="92"/>
      <c r="Q319" s="92"/>
      <c r="R319" s="92"/>
      <c r="S319" s="92"/>
      <c r="T319" s="92"/>
      <c r="U319" s="92"/>
      <c r="V319" s="92"/>
      <c r="W319" s="92"/>
      <c r="X319" s="91"/>
    </row>
    <row r="320" spans="4:24" hidden="1" x14ac:dyDescent="0.2">
      <c r="D320" t="s">
        <v>441</v>
      </c>
      <c r="E320">
        <v>4</v>
      </c>
      <c r="F320">
        <f>NT_I!I53</f>
        <v>42</v>
      </c>
      <c r="G320" t="str">
        <f>IF(NT_I!J53&lt;&gt;"",NT_I!J53,"")</f>
        <v/>
      </c>
      <c r="H320" s="49">
        <f t="shared" si="10"/>
        <v>18951240</v>
      </c>
      <c r="I320">
        <f t="shared" si="11"/>
        <v>0</v>
      </c>
      <c r="J320" s="90">
        <f>NT_I!K53</f>
        <v>0</v>
      </c>
      <c r="K320" s="91">
        <f>NT_I!L53</f>
        <v>22561000</v>
      </c>
      <c r="L320" s="90"/>
      <c r="M320" s="92"/>
      <c r="N320" s="92"/>
      <c r="O320" s="92"/>
      <c r="P320" s="92"/>
      <c r="Q320" s="92"/>
      <c r="R320" s="92"/>
      <c r="S320" s="92"/>
      <c r="T320" s="92"/>
      <c r="U320" s="92"/>
      <c r="V320" s="92"/>
      <c r="W320" s="92"/>
      <c r="X320" s="91"/>
    </row>
    <row r="321" spans="4:24" hidden="1" x14ac:dyDescent="0.2">
      <c r="D321" t="s">
        <v>441</v>
      </c>
      <c r="E321">
        <v>4</v>
      </c>
      <c r="F321">
        <f>NT_I!I54</f>
        <v>43</v>
      </c>
      <c r="G321" t="str">
        <f>IF(NT_I!J54&lt;&gt;"",NT_I!J54,"")</f>
        <v/>
      </c>
      <c r="H321" s="49">
        <f t="shared" si="10"/>
        <v>19599400</v>
      </c>
      <c r="I321">
        <f t="shared" si="11"/>
        <v>0</v>
      </c>
      <c r="J321" s="90">
        <f>NT_I!K54</f>
        <v>45580000</v>
      </c>
      <c r="K321" s="91">
        <f>NT_I!L54</f>
        <v>0</v>
      </c>
      <c r="L321" s="90"/>
      <c r="M321" s="92"/>
      <c r="N321" s="92"/>
      <c r="O321" s="92"/>
      <c r="P321" s="92"/>
      <c r="Q321" s="92"/>
      <c r="R321" s="92"/>
      <c r="S321" s="92"/>
      <c r="T321" s="92"/>
      <c r="U321" s="92"/>
      <c r="V321" s="92"/>
      <c r="W321" s="92"/>
      <c r="X321" s="91"/>
    </row>
    <row r="322" spans="4:24" hidden="1" x14ac:dyDescent="0.2">
      <c r="D322" t="s">
        <v>441</v>
      </c>
      <c r="E322">
        <v>4</v>
      </c>
      <c r="F322">
        <f>NT_I!I55</f>
        <v>44</v>
      </c>
      <c r="G322" t="str">
        <f>IF(NT_I!J55&lt;&gt;"",NT_I!J55,"")</f>
        <v/>
      </c>
      <c r="H322" s="49">
        <f t="shared" ref="H322:H386" si="12">J322/100*F322+2*K322/100*F322</f>
        <v>287455960</v>
      </c>
      <c r="I322">
        <f t="shared" si="11"/>
        <v>0</v>
      </c>
      <c r="J322" s="90">
        <f>NT_I!K55</f>
        <v>66969000</v>
      </c>
      <c r="K322" s="91">
        <f>NT_I!L55</f>
        <v>293170000</v>
      </c>
      <c r="L322" s="90"/>
      <c r="M322" s="92"/>
      <c r="N322" s="92"/>
      <c r="O322" s="92"/>
      <c r="P322" s="92"/>
      <c r="Q322" s="92"/>
      <c r="R322" s="92"/>
      <c r="S322" s="92"/>
      <c r="T322" s="92"/>
      <c r="U322" s="92"/>
      <c r="V322" s="92"/>
      <c r="W322" s="92"/>
      <c r="X322" s="91"/>
    </row>
    <row r="323" spans="4:24" hidden="1" x14ac:dyDescent="0.2">
      <c r="D323" t="s">
        <v>442</v>
      </c>
      <c r="E323">
        <v>5</v>
      </c>
      <c r="F323" s="28">
        <f>NT_D!I10</f>
        <v>1</v>
      </c>
      <c r="G323" s="28" t="str">
        <f>IF(NT_D!J10&lt;&gt;"",NT_D!J10,"")</f>
        <v/>
      </c>
      <c r="H323" s="49">
        <f t="shared" si="12"/>
        <v>0</v>
      </c>
      <c r="I323">
        <f t="shared" ref="I323:I386" si="13">ABS(ROUND(J323,0)-J323)+ABS(ROUND(K323,0)-K323)</f>
        <v>0</v>
      </c>
      <c r="J323" s="90">
        <f>NT_D!K10</f>
        <v>0</v>
      </c>
      <c r="K323" s="91">
        <f>NT_D!L10</f>
        <v>0</v>
      </c>
      <c r="L323" s="90"/>
      <c r="M323" s="92"/>
      <c r="N323" s="92"/>
      <c r="O323" s="92"/>
      <c r="P323" s="92"/>
      <c r="Q323" s="92"/>
      <c r="R323" s="92"/>
      <c r="S323" s="92"/>
      <c r="T323" s="92"/>
      <c r="U323" s="92"/>
      <c r="V323" s="92"/>
      <c r="W323" s="92"/>
      <c r="X323" s="91"/>
    </row>
    <row r="324" spans="4:24" hidden="1" x14ac:dyDescent="0.2">
      <c r="D324" t="s">
        <v>442</v>
      </c>
      <c r="E324">
        <v>5</v>
      </c>
      <c r="F324" s="28">
        <f>NT_D!I11</f>
        <v>2</v>
      </c>
      <c r="G324" s="28" t="str">
        <f>IF(NT_D!J11&lt;&gt;"",NT_D!J11,"")</f>
        <v/>
      </c>
      <c r="H324" s="49">
        <f t="shared" si="12"/>
        <v>0</v>
      </c>
      <c r="I324">
        <f t="shared" si="13"/>
        <v>0</v>
      </c>
      <c r="J324" s="90">
        <f>NT_D!K11</f>
        <v>0</v>
      </c>
      <c r="K324" s="91">
        <f>NT_D!L11</f>
        <v>0</v>
      </c>
      <c r="L324" s="90"/>
      <c r="M324" s="92"/>
      <c r="N324" s="92"/>
      <c r="O324" s="92"/>
      <c r="P324" s="92"/>
      <c r="Q324" s="92"/>
      <c r="R324" s="92"/>
      <c r="S324" s="92"/>
      <c r="T324" s="92"/>
      <c r="U324" s="92"/>
      <c r="V324" s="92"/>
      <c r="W324" s="92"/>
      <c r="X324" s="91"/>
    </row>
    <row r="325" spans="4:24" hidden="1" x14ac:dyDescent="0.2">
      <c r="D325" t="s">
        <v>442</v>
      </c>
      <c r="E325">
        <v>5</v>
      </c>
      <c r="F325" s="28">
        <f>NT_D!I12</f>
        <v>3</v>
      </c>
      <c r="G325" s="28" t="str">
        <f>IF(NT_D!J12&lt;&gt;"",NT_D!J12,"")</f>
        <v/>
      </c>
      <c r="H325" s="49">
        <f t="shared" si="12"/>
        <v>0</v>
      </c>
      <c r="I325">
        <f t="shared" si="13"/>
        <v>0</v>
      </c>
      <c r="J325" s="90">
        <f>NT_D!K12</f>
        <v>0</v>
      </c>
      <c r="K325" s="91">
        <f>NT_D!L12</f>
        <v>0</v>
      </c>
      <c r="L325" s="90"/>
      <c r="M325" s="92"/>
      <c r="N325" s="92"/>
      <c r="O325" s="92"/>
      <c r="P325" s="92"/>
      <c r="Q325" s="92"/>
      <c r="R325" s="92"/>
      <c r="S325" s="92"/>
      <c r="T325" s="92"/>
      <c r="U325" s="92"/>
      <c r="V325" s="92"/>
      <c r="W325" s="92"/>
      <c r="X325" s="91"/>
    </row>
    <row r="326" spans="4:24" hidden="1" x14ac:dyDescent="0.2">
      <c r="D326" t="s">
        <v>442</v>
      </c>
      <c r="E326">
        <v>5</v>
      </c>
      <c r="F326" s="28">
        <f>NT_D!I13</f>
        <v>4</v>
      </c>
      <c r="G326" s="28" t="str">
        <f>IF(NT_D!J13&lt;&gt;"",NT_D!J13,"")</f>
        <v/>
      </c>
      <c r="H326" s="49">
        <f t="shared" si="12"/>
        <v>0</v>
      </c>
      <c r="I326">
        <f t="shared" si="13"/>
        <v>0</v>
      </c>
      <c r="J326" s="90">
        <f>NT_D!K13</f>
        <v>0</v>
      </c>
      <c r="K326" s="91">
        <f>NT_D!L13</f>
        <v>0</v>
      </c>
      <c r="L326" s="90"/>
      <c r="M326" s="92"/>
      <c r="N326" s="92"/>
      <c r="O326" s="92"/>
      <c r="P326" s="92"/>
      <c r="Q326" s="92"/>
      <c r="R326" s="92"/>
      <c r="S326" s="92"/>
      <c r="T326" s="92"/>
      <c r="U326" s="92"/>
      <c r="V326" s="92"/>
      <c r="W326" s="92"/>
      <c r="X326" s="91"/>
    </row>
    <row r="327" spans="4:24" hidden="1" x14ac:dyDescent="0.2">
      <c r="D327" t="s">
        <v>442</v>
      </c>
      <c r="E327">
        <v>5</v>
      </c>
      <c r="F327" s="28">
        <f>NT_D!I14</f>
        <v>5</v>
      </c>
      <c r="G327" s="28" t="str">
        <f>IF(NT_D!J14&lt;&gt;"",NT_D!J14,"")</f>
        <v/>
      </c>
      <c r="H327" s="49">
        <f t="shared" si="12"/>
        <v>0</v>
      </c>
      <c r="I327">
        <f t="shared" si="13"/>
        <v>0</v>
      </c>
      <c r="J327" s="90">
        <f>NT_D!K14</f>
        <v>0</v>
      </c>
      <c r="K327" s="91">
        <f>NT_D!L14</f>
        <v>0</v>
      </c>
      <c r="L327" s="90"/>
      <c r="M327" s="92"/>
      <c r="N327" s="92"/>
      <c r="O327" s="92"/>
      <c r="P327" s="92"/>
      <c r="Q327" s="92"/>
      <c r="R327" s="92"/>
      <c r="S327" s="92"/>
      <c r="T327" s="92"/>
      <c r="U327" s="92"/>
      <c r="V327" s="92"/>
      <c r="W327" s="92"/>
      <c r="X327" s="91"/>
    </row>
    <row r="328" spans="4:24" hidden="1" x14ac:dyDescent="0.2">
      <c r="D328" t="s">
        <v>442</v>
      </c>
      <c r="E328">
        <v>5</v>
      </c>
      <c r="F328" s="28">
        <f>NT_D!I15</f>
        <v>6</v>
      </c>
      <c r="G328" s="28" t="str">
        <f>IF(NT_D!J15&lt;&gt;"",NT_D!J15,"")</f>
        <v/>
      </c>
      <c r="H328" s="49">
        <f t="shared" si="12"/>
        <v>0</v>
      </c>
      <c r="I328">
        <f t="shared" si="13"/>
        <v>0</v>
      </c>
      <c r="J328" s="90">
        <f>NT_D!K15</f>
        <v>0</v>
      </c>
      <c r="K328" s="91">
        <f>NT_D!L15</f>
        <v>0</v>
      </c>
      <c r="L328" s="90"/>
      <c r="M328" s="92"/>
      <c r="N328" s="92"/>
      <c r="O328" s="92"/>
      <c r="P328" s="92"/>
      <c r="Q328" s="92"/>
      <c r="R328" s="92"/>
      <c r="S328" s="92"/>
      <c r="T328" s="92"/>
      <c r="U328" s="92"/>
      <c r="V328" s="92"/>
      <c r="W328" s="92"/>
      <c r="X328" s="91"/>
    </row>
    <row r="329" spans="4:24" hidden="1" x14ac:dyDescent="0.2">
      <c r="D329" t="s">
        <v>442</v>
      </c>
      <c r="E329">
        <v>5</v>
      </c>
      <c r="F329" s="28">
        <f>NT_D!I16</f>
        <v>7</v>
      </c>
      <c r="G329" s="28" t="str">
        <f>IF(NT_D!J16&lt;&gt;"",NT_D!J16,"")</f>
        <v/>
      </c>
      <c r="H329" s="49">
        <f t="shared" si="12"/>
        <v>0</v>
      </c>
      <c r="I329">
        <f t="shared" si="13"/>
        <v>0</v>
      </c>
      <c r="J329" s="90">
        <f>NT_D!K16</f>
        <v>0</v>
      </c>
      <c r="K329" s="91">
        <f>NT_D!L16</f>
        <v>0</v>
      </c>
      <c r="L329" s="90"/>
      <c r="M329" s="92"/>
      <c r="N329" s="92"/>
      <c r="O329" s="92"/>
      <c r="P329" s="92"/>
      <c r="Q329" s="92"/>
      <c r="R329" s="92"/>
      <c r="S329" s="92"/>
      <c r="T329" s="92"/>
      <c r="U329" s="92"/>
      <c r="V329" s="92"/>
      <c r="W329" s="92"/>
      <c r="X329" s="91"/>
    </row>
    <row r="330" spans="4:24" hidden="1" x14ac:dyDescent="0.2">
      <c r="D330" t="s">
        <v>442</v>
      </c>
      <c r="E330">
        <v>5</v>
      </c>
      <c r="F330" s="28">
        <f>NT_D!I17</f>
        <v>8</v>
      </c>
      <c r="G330" s="28" t="str">
        <f>IF(NT_D!J17&lt;&gt;"",NT_D!J17,"")</f>
        <v/>
      </c>
      <c r="H330" s="49">
        <f t="shared" si="12"/>
        <v>0</v>
      </c>
      <c r="I330">
        <f t="shared" si="13"/>
        <v>0</v>
      </c>
      <c r="J330" s="90">
        <f>NT_D!K17</f>
        <v>0</v>
      </c>
      <c r="K330" s="91">
        <f>NT_D!L17</f>
        <v>0</v>
      </c>
      <c r="L330" s="90"/>
      <c r="M330" s="92"/>
      <c r="N330" s="92"/>
      <c r="O330" s="92"/>
      <c r="P330" s="92"/>
      <c r="Q330" s="92"/>
      <c r="R330" s="92"/>
      <c r="S330" s="92"/>
      <c r="T330" s="92"/>
      <c r="U330" s="92"/>
      <c r="V330" s="92"/>
      <c r="W330" s="92"/>
      <c r="X330" s="91"/>
    </row>
    <row r="331" spans="4:24" hidden="1" x14ac:dyDescent="0.2">
      <c r="D331" t="s">
        <v>442</v>
      </c>
      <c r="E331">
        <v>5</v>
      </c>
      <c r="F331" s="28">
        <f>NT_D!I18</f>
        <v>9</v>
      </c>
      <c r="G331" s="28" t="str">
        <f>IF(NT_D!J18&lt;&gt;"",NT_D!J18,"")</f>
        <v/>
      </c>
      <c r="H331" s="49">
        <f t="shared" si="12"/>
        <v>0</v>
      </c>
      <c r="I331">
        <f t="shared" si="13"/>
        <v>0</v>
      </c>
      <c r="J331" s="90">
        <f>NT_D!K18</f>
        <v>0</v>
      </c>
      <c r="K331" s="91">
        <f>NT_D!L18</f>
        <v>0</v>
      </c>
      <c r="L331" s="90"/>
      <c r="M331" s="92"/>
      <c r="N331" s="92"/>
      <c r="O331" s="92"/>
      <c r="P331" s="92"/>
      <c r="Q331" s="92"/>
      <c r="R331" s="92"/>
      <c r="S331" s="92"/>
      <c r="T331" s="92"/>
      <c r="U331" s="92"/>
      <c r="V331" s="92"/>
      <c r="W331" s="92"/>
      <c r="X331" s="91"/>
    </row>
    <row r="332" spans="4:24" hidden="1" x14ac:dyDescent="0.2">
      <c r="D332" t="s">
        <v>442</v>
      </c>
      <c r="E332">
        <v>5</v>
      </c>
      <c r="F332" s="28">
        <f>NT_D!I19</f>
        <v>10</v>
      </c>
      <c r="G332" s="28" t="str">
        <f>IF(NT_D!J19&lt;&gt;"",NT_D!J19,"")</f>
        <v/>
      </c>
      <c r="H332" s="49">
        <f t="shared" si="12"/>
        <v>0</v>
      </c>
      <c r="I332">
        <f t="shared" si="13"/>
        <v>0</v>
      </c>
      <c r="J332" s="90">
        <f>NT_D!K19</f>
        <v>0</v>
      </c>
      <c r="K332" s="91">
        <f>NT_D!L19</f>
        <v>0</v>
      </c>
      <c r="L332" s="90"/>
      <c r="M332" s="92"/>
      <c r="N332" s="92"/>
      <c r="O332" s="92"/>
      <c r="P332" s="92"/>
      <c r="Q332" s="92"/>
      <c r="R332" s="92"/>
      <c r="S332" s="92"/>
      <c r="T332" s="92"/>
      <c r="U332" s="92"/>
      <c r="V332" s="92"/>
      <c r="W332" s="92"/>
      <c r="X332" s="91"/>
    </row>
    <row r="333" spans="4:24" hidden="1" x14ac:dyDescent="0.2">
      <c r="D333" t="s">
        <v>442</v>
      </c>
      <c r="E333">
        <v>5</v>
      </c>
      <c r="F333" s="28">
        <f>NT_D!I20</f>
        <v>11</v>
      </c>
      <c r="G333" s="28" t="str">
        <f>IF(NT_D!J20&lt;&gt;"",NT_D!J20,"")</f>
        <v/>
      </c>
      <c r="H333" s="49">
        <f t="shared" si="12"/>
        <v>0</v>
      </c>
      <c r="I333">
        <f t="shared" si="13"/>
        <v>0</v>
      </c>
      <c r="J333" s="90">
        <f>NT_D!K20</f>
        <v>0</v>
      </c>
      <c r="K333" s="91">
        <f>NT_D!L20</f>
        <v>0</v>
      </c>
      <c r="L333" s="90"/>
      <c r="M333" s="92"/>
      <c r="N333" s="92"/>
      <c r="O333" s="92"/>
      <c r="P333" s="92"/>
      <c r="Q333" s="92"/>
      <c r="R333" s="92"/>
      <c r="S333" s="92"/>
      <c r="T333" s="92"/>
      <c r="U333" s="92"/>
      <c r="V333" s="92"/>
      <c r="W333" s="92"/>
      <c r="X333" s="91"/>
    </row>
    <row r="334" spans="4:24" hidden="1" x14ac:dyDescent="0.2">
      <c r="D334" t="s">
        <v>442</v>
      </c>
      <c r="E334">
        <v>5</v>
      </c>
      <c r="F334" s="28">
        <f>NT_D!I21</f>
        <v>12</v>
      </c>
      <c r="G334" s="28" t="str">
        <f>IF(NT_D!J21&lt;&gt;"",NT_D!J21,"")</f>
        <v/>
      </c>
      <c r="H334" s="49">
        <f t="shared" si="12"/>
        <v>0</v>
      </c>
      <c r="I334">
        <f t="shared" si="13"/>
        <v>0</v>
      </c>
      <c r="J334" s="90">
        <f>NT_D!K21</f>
        <v>0</v>
      </c>
      <c r="K334" s="91">
        <f>NT_D!L21</f>
        <v>0</v>
      </c>
      <c r="L334" s="90"/>
      <c r="M334" s="92"/>
      <c r="N334" s="92"/>
      <c r="O334" s="92"/>
      <c r="P334" s="92"/>
      <c r="Q334" s="92"/>
      <c r="R334" s="92"/>
      <c r="S334" s="92"/>
      <c r="T334" s="92"/>
      <c r="U334" s="92"/>
      <c r="V334" s="92"/>
      <c r="W334" s="92"/>
      <c r="X334" s="91"/>
    </row>
    <row r="335" spans="4:24" hidden="1" x14ac:dyDescent="0.2">
      <c r="D335" t="s">
        <v>442</v>
      </c>
      <c r="E335">
        <v>5</v>
      </c>
      <c r="F335" s="28">
        <f>NT_D!I22</f>
        <v>13</v>
      </c>
      <c r="G335" s="28" t="str">
        <f>IF(NT_D!J22&lt;&gt;"",NT_D!J22,"")</f>
        <v/>
      </c>
      <c r="H335" s="49">
        <f t="shared" si="12"/>
        <v>0</v>
      </c>
      <c r="I335">
        <f t="shared" si="13"/>
        <v>0</v>
      </c>
      <c r="J335" s="90">
        <f>NT_D!K22</f>
        <v>0</v>
      </c>
      <c r="K335" s="91">
        <f>NT_D!L22</f>
        <v>0</v>
      </c>
      <c r="L335" s="90"/>
      <c r="M335" s="92"/>
      <c r="N335" s="92"/>
      <c r="O335" s="92"/>
      <c r="P335" s="92"/>
      <c r="Q335" s="92"/>
      <c r="R335" s="92"/>
      <c r="S335" s="92"/>
      <c r="T335" s="92"/>
      <c r="U335" s="92"/>
      <c r="V335" s="92"/>
      <c r="W335" s="92"/>
      <c r="X335" s="91"/>
    </row>
    <row r="336" spans="4:24" hidden="1" x14ac:dyDescent="0.2">
      <c r="D336" t="s">
        <v>442</v>
      </c>
      <c r="E336">
        <v>5</v>
      </c>
      <c r="F336" s="28">
        <f>NT_D!I23</f>
        <v>14</v>
      </c>
      <c r="G336" s="28" t="str">
        <f>IF(NT_D!J23&lt;&gt;"",NT_D!J23,"")</f>
        <v/>
      </c>
      <c r="H336" s="49">
        <f t="shared" si="12"/>
        <v>0</v>
      </c>
      <c r="I336">
        <f t="shared" si="13"/>
        <v>0</v>
      </c>
      <c r="J336" s="90">
        <f>NT_D!K23</f>
        <v>0</v>
      </c>
      <c r="K336" s="91">
        <f>NT_D!L23</f>
        <v>0</v>
      </c>
      <c r="L336" s="90"/>
      <c r="M336" s="92"/>
      <c r="N336" s="92"/>
      <c r="O336" s="92"/>
      <c r="P336" s="92"/>
      <c r="Q336" s="92"/>
      <c r="R336" s="92"/>
      <c r="S336" s="92"/>
      <c r="T336" s="92"/>
      <c r="U336" s="92"/>
      <c r="V336" s="92"/>
      <c r="W336" s="92"/>
      <c r="X336" s="91"/>
    </row>
    <row r="337" spans="4:24" hidden="1" x14ac:dyDescent="0.2">
      <c r="D337" t="s">
        <v>442</v>
      </c>
      <c r="E337">
        <v>5</v>
      </c>
      <c r="F337" s="28">
        <f>NT_D!I24</f>
        <v>15</v>
      </c>
      <c r="G337" s="28" t="str">
        <f>IF(NT_D!J24&lt;&gt;"",NT_D!J24,"")</f>
        <v/>
      </c>
      <c r="H337" s="49">
        <f t="shared" si="12"/>
        <v>0</v>
      </c>
      <c r="I337">
        <f t="shared" si="13"/>
        <v>0</v>
      </c>
      <c r="J337" s="90">
        <f>NT_D!K24</f>
        <v>0</v>
      </c>
      <c r="K337" s="91">
        <f>NT_D!L24</f>
        <v>0</v>
      </c>
      <c r="L337" s="90"/>
      <c r="M337" s="92"/>
      <c r="N337" s="92"/>
      <c r="O337" s="92"/>
      <c r="P337" s="92"/>
      <c r="Q337" s="92"/>
      <c r="R337" s="92"/>
      <c r="S337" s="92"/>
      <c r="T337" s="92"/>
      <c r="U337" s="92"/>
      <c r="V337" s="92"/>
      <c r="W337" s="92"/>
      <c r="X337" s="91"/>
    </row>
    <row r="338" spans="4:24" hidden="1" x14ac:dyDescent="0.2">
      <c r="D338" t="s">
        <v>442</v>
      </c>
      <c r="E338">
        <v>5</v>
      </c>
      <c r="F338" s="28">
        <f>NT_D!I26</f>
        <v>16</v>
      </c>
      <c r="G338" s="28" t="str">
        <f>IF(NT_D!J26&lt;&gt;"",NT_D!J26,"")</f>
        <v/>
      </c>
      <c r="H338" s="49">
        <f t="shared" si="12"/>
        <v>0</v>
      </c>
      <c r="I338">
        <f t="shared" si="13"/>
        <v>0</v>
      </c>
      <c r="J338" s="90">
        <f>NT_D!K26</f>
        <v>0</v>
      </c>
      <c r="K338" s="91">
        <f>NT_D!L26</f>
        <v>0</v>
      </c>
      <c r="L338" s="90"/>
      <c r="M338" s="92"/>
      <c r="N338" s="92"/>
      <c r="O338" s="92"/>
      <c r="P338" s="92"/>
      <c r="Q338" s="92"/>
      <c r="R338" s="92"/>
      <c r="S338" s="92"/>
      <c r="T338" s="92"/>
      <c r="U338" s="92"/>
      <c r="V338" s="92"/>
      <c r="W338" s="92"/>
      <c r="X338" s="91"/>
    </row>
    <row r="339" spans="4:24" hidden="1" x14ac:dyDescent="0.2">
      <c r="D339" t="s">
        <v>442</v>
      </c>
      <c r="E339">
        <v>5</v>
      </c>
      <c r="F339" s="28">
        <f>NT_D!I27</f>
        <v>17</v>
      </c>
      <c r="G339" s="28" t="str">
        <f>IF(NT_D!J27&lt;&gt;"",NT_D!J27,"")</f>
        <v/>
      </c>
      <c r="H339" s="49">
        <f t="shared" si="12"/>
        <v>0</v>
      </c>
      <c r="I339">
        <f t="shared" si="13"/>
        <v>0</v>
      </c>
      <c r="J339" s="90">
        <f>NT_D!K27</f>
        <v>0</v>
      </c>
      <c r="K339" s="91">
        <f>NT_D!L27</f>
        <v>0</v>
      </c>
      <c r="L339" s="90"/>
      <c r="M339" s="92"/>
      <c r="N339" s="92"/>
      <c r="O339" s="92"/>
      <c r="P339" s="92"/>
      <c r="Q339" s="92"/>
      <c r="R339" s="92"/>
      <c r="S339" s="92"/>
      <c r="T339" s="92"/>
      <c r="U339" s="92"/>
      <c r="V339" s="92"/>
      <c r="W339" s="92"/>
      <c r="X339" s="91"/>
    </row>
    <row r="340" spans="4:24" hidden="1" x14ac:dyDescent="0.2">
      <c r="D340" t="s">
        <v>442</v>
      </c>
      <c r="E340">
        <v>5</v>
      </c>
      <c r="F340" s="28">
        <f>NT_D!I28</f>
        <v>18</v>
      </c>
      <c r="G340" s="28" t="str">
        <f>IF(NT_D!J28&lt;&gt;"",NT_D!J28,"")</f>
        <v/>
      </c>
      <c r="H340" s="49">
        <f t="shared" si="12"/>
        <v>0</v>
      </c>
      <c r="I340">
        <f t="shared" si="13"/>
        <v>0</v>
      </c>
      <c r="J340" s="90">
        <f>NT_D!K28</f>
        <v>0</v>
      </c>
      <c r="K340" s="91">
        <f>NT_D!L28</f>
        <v>0</v>
      </c>
      <c r="L340" s="90"/>
      <c r="M340" s="92"/>
      <c r="N340" s="92"/>
      <c r="O340" s="92"/>
      <c r="P340" s="92"/>
      <c r="Q340" s="92"/>
      <c r="R340" s="92"/>
      <c r="S340" s="92"/>
      <c r="T340" s="92"/>
      <c r="U340" s="92"/>
      <c r="V340" s="92"/>
      <c r="W340" s="92"/>
      <c r="X340" s="91"/>
    </row>
    <row r="341" spans="4:24" hidden="1" x14ac:dyDescent="0.2">
      <c r="D341" t="s">
        <v>442</v>
      </c>
      <c r="E341">
        <v>5</v>
      </c>
      <c r="F341" s="28">
        <f>NT_D!I29</f>
        <v>19</v>
      </c>
      <c r="G341" s="28" t="str">
        <f>IF(NT_D!J29&lt;&gt;"",NT_D!J29,"")</f>
        <v/>
      </c>
      <c r="H341" s="49">
        <f t="shared" si="12"/>
        <v>0</v>
      </c>
      <c r="I341">
        <f t="shared" si="13"/>
        <v>0</v>
      </c>
      <c r="J341" s="90">
        <f>NT_D!K29</f>
        <v>0</v>
      </c>
      <c r="K341" s="91">
        <f>NT_D!L29</f>
        <v>0</v>
      </c>
      <c r="L341" s="90"/>
      <c r="M341" s="92"/>
      <c r="N341" s="92"/>
      <c r="O341" s="92"/>
      <c r="P341" s="92"/>
      <c r="Q341" s="92"/>
      <c r="R341" s="92"/>
      <c r="S341" s="92"/>
      <c r="T341" s="92"/>
      <c r="U341" s="92"/>
      <c r="V341" s="92"/>
      <c r="W341" s="92"/>
      <c r="X341" s="91"/>
    </row>
    <row r="342" spans="4:24" hidden="1" x14ac:dyDescent="0.2">
      <c r="D342" t="s">
        <v>442</v>
      </c>
      <c r="E342">
        <v>5</v>
      </c>
      <c r="F342" s="28">
        <f>NT_D!I30</f>
        <v>20</v>
      </c>
      <c r="G342" s="28" t="str">
        <f>IF(NT_D!J30&lt;&gt;"",NT_D!J30,"")</f>
        <v/>
      </c>
      <c r="H342" s="49">
        <f t="shared" si="12"/>
        <v>0</v>
      </c>
      <c r="I342">
        <f t="shared" si="13"/>
        <v>0</v>
      </c>
      <c r="J342" s="90">
        <f>NT_D!K30</f>
        <v>0</v>
      </c>
      <c r="K342" s="91">
        <f>NT_D!L30</f>
        <v>0</v>
      </c>
      <c r="L342" s="90"/>
      <c r="M342" s="92"/>
      <c r="N342" s="92"/>
      <c r="O342" s="92"/>
      <c r="P342" s="92"/>
      <c r="Q342" s="92"/>
      <c r="R342" s="92"/>
      <c r="S342" s="92"/>
      <c r="T342" s="92"/>
      <c r="U342" s="92"/>
      <c r="V342" s="92"/>
      <c r="W342" s="92"/>
      <c r="X342" s="91"/>
    </row>
    <row r="343" spans="4:24" hidden="1" x14ac:dyDescent="0.2">
      <c r="D343" t="s">
        <v>442</v>
      </c>
      <c r="E343">
        <v>5</v>
      </c>
      <c r="F343" s="28">
        <f>NT_D!I31</f>
        <v>21</v>
      </c>
      <c r="G343" s="28" t="str">
        <f>IF(NT_D!J31&lt;&gt;"",NT_D!J31,"")</f>
        <v/>
      </c>
      <c r="H343" s="49">
        <f t="shared" si="12"/>
        <v>0</v>
      </c>
      <c r="I343">
        <f t="shared" si="13"/>
        <v>0</v>
      </c>
      <c r="J343" s="90">
        <f>NT_D!K31</f>
        <v>0</v>
      </c>
      <c r="K343" s="91">
        <f>NT_D!L31</f>
        <v>0</v>
      </c>
      <c r="L343" s="90"/>
      <c r="M343" s="92"/>
      <c r="N343" s="92"/>
      <c r="O343" s="92"/>
      <c r="P343" s="92"/>
      <c r="Q343" s="92"/>
      <c r="R343" s="92"/>
      <c r="S343" s="92"/>
      <c r="T343" s="92"/>
      <c r="U343" s="92"/>
      <c r="V343" s="92"/>
      <c r="W343" s="92"/>
      <c r="X343" s="91"/>
    </row>
    <row r="344" spans="4:24" hidden="1" x14ac:dyDescent="0.2">
      <c r="D344" t="s">
        <v>442</v>
      </c>
      <c r="E344">
        <v>5</v>
      </c>
      <c r="F344" s="28">
        <f>NT_D!I32</f>
        <v>22</v>
      </c>
      <c r="G344" s="28" t="str">
        <f>IF(NT_D!J32&lt;&gt;"",NT_D!J32,"")</f>
        <v/>
      </c>
      <c r="H344" s="49">
        <f t="shared" si="12"/>
        <v>0</v>
      </c>
      <c r="I344">
        <f t="shared" si="13"/>
        <v>0</v>
      </c>
      <c r="J344" s="90">
        <f>NT_D!K32</f>
        <v>0</v>
      </c>
      <c r="K344" s="91">
        <f>NT_D!L32</f>
        <v>0</v>
      </c>
      <c r="L344" s="90"/>
      <c r="M344" s="92"/>
      <c r="N344" s="92"/>
      <c r="O344" s="92"/>
      <c r="P344" s="92"/>
      <c r="Q344" s="92"/>
      <c r="R344" s="92"/>
      <c r="S344" s="92"/>
      <c r="T344" s="92"/>
      <c r="U344" s="92"/>
      <c r="V344" s="92"/>
      <c r="W344" s="92"/>
      <c r="X344" s="91"/>
    </row>
    <row r="345" spans="4:24" hidden="1" x14ac:dyDescent="0.2">
      <c r="D345" t="s">
        <v>442</v>
      </c>
      <c r="E345">
        <v>5</v>
      </c>
      <c r="F345" s="28">
        <f>NT_D!I33</f>
        <v>23</v>
      </c>
      <c r="G345" s="28" t="str">
        <f>IF(NT_D!J33&lt;&gt;"",NT_D!J33,"")</f>
        <v/>
      </c>
      <c r="H345" s="49">
        <f t="shared" si="12"/>
        <v>0</v>
      </c>
      <c r="I345">
        <f t="shared" si="13"/>
        <v>0</v>
      </c>
      <c r="J345" s="90">
        <f>NT_D!K33</f>
        <v>0</v>
      </c>
      <c r="K345" s="91">
        <f>NT_D!L33</f>
        <v>0</v>
      </c>
      <c r="L345" s="90"/>
      <c r="M345" s="92"/>
      <c r="N345" s="92"/>
      <c r="O345" s="92"/>
      <c r="P345" s="92"/>
      <c r="Q345" s="92"/>
      <c r="R345" s="92"/>
      <c r="S345" s="92"/>
      <c r="T345" s="92"/>
      <c r="U345" s="92"/>
      <c r="V345" s="92"/>
      <c r="W345" s="92"/>
      <c r="X345" s="91"/>
    </row>
    <row r="346" spans="4:24" hidden="1" x14ac:dyDescent="0.2">
      <c r="D346" t="s">
        <v>442</v>
      </c>
      <c r="E346">
        <v>5</v>
      </c>
      <c r="F346" s="28">
        <f>NT_D!I34</f>
        <v>24</v>
      </c>
      <c r="G346" s="28" t="str">
        <f>IF(NT_D!J34&lt;&gt;"",NT_D!J34,"")</f>
        <v/>
      </c>
      <c r="H346" s="49">
        <f t="shared" si="12"/>
        <v>0</v>
      </c>
      <c r="I346">
        <f t="shared" si="13"/>
        <v>0</v>
      </c>
      <c r="J346" s="90">
        <f>NT_D!K34</f>
        <v>0</v>
      </c>
      <c r="K346" s="91">
        <f>NT_D!L34</f>
        <v>0</v>
      </c>
      <c r="L346" s="90"/>
      <c r="M346" s="92"/>
      <c r="N346" s="92"/>
      <c r="O346" s="92"/>
      <c r="P346" s="92"/>
      <c r="Q346" s="92"/>
      <c r="R346" s="92"/>
      <c r="S346" s="92"/>
      <c r="T346" s="92"/>
      <c r="U346" s="92"/>
      <c r="V346" s="92"/>
      <c r="W346" s="92"/>
      <c r="X346" s="91"/>
    </row>
    <row r="347" spans="4:24" hidden="1" x14ac:dyDescent="0.2">
      <c r="D347" t="s">
        <v>442</v>
      </c>
      <c r="E347">
        <v>5</v>
      </c>
      <c r="F347" s="28">
        <f>NT_D!I35</f>
        <v>25</v>
      </c>
      <c r="G347" s="28" t="str">
        <f>IF(NT_D!J35&lt;&gt;"",NT_D!J35,"")</f>
        <v/>
      </c>
      <c r="H347" s="49">
        <f t="shared" si="12"/>
        <v>0</v>
      </c>
      <c r="I347">
        <f t="shared" si="13"/>
        <v>0</v>
      </c>
      <c r="J347" s="90">
        <f>NT_D!K35</f>
        <v>0</v>
      </c>
      <c r="K347" s="91">
        <f>NT_D!L35</f>
        <v>0</v>
      </c>
      <c r="L347" s="90"/>
      <c r="M347" s="92"/>
      <c r="N347" s="92"/>
      <c r="O347" s="92"/>
      <c r="P347" s="92"/>
      <c r="Q347" s="92"/>
      <c r="R347" s="92"/>
      <c r="S347" s="92"/>
      <c r="T347" s="92"/>
      <c r="U347" s="92"/>
      <c r="V347" s="92"/>
      <c r="W347" s="92"/>
      <c r="X347" s="91"/>
    </row>
    <row r="348" spans="4:24" hidden="1" x14ac:dyDescent="0.2">
      <c r="D348" t="s">
        <v>442</v>
      </c>
      <c r="E348">
        <v>5</v>
      </c>
      <c r="F348" s="28">
        <f>NT_D!I36</f>
        <v>26</v>
      </c>
      <c r="G348" s="28" t="str">
        <f>IF(NT_D!J36&lt;&gt;"",NT_D!J36,"")</f>
        <v/>
      </c>
      <c r="H348" s="49">
        <f t="shared" si="12"/>
        <v>0</v>
      </c>
      <c r="I348">
        <f t="shared" si="13"/>
        <v>0</v>
      </c>
      <c r="J348" s="90">
        <f>NT_D!K36</f>
        <v>0</v>
      </c>
      <c r="K348" s="91">
        <f>NT_D!L36</f>
        <v>0</v>
      </c>
      <c r="L348" s="90"/>
      <c r="M348" s="92"/>
      <c r="N348" s="92"/>
      <c r="O348" s="92"/>
      <c r="P348" s="92"/>
      <c r="Q348" s="92"/>
      <c r="R348" s="92"/>
      <c r="S348" s="92"/>
      <c r="T348" s="92"/>
      <c r="U348" s="92"/>
      <c r="V348" s="92"/>
      <c r="W348" s="92"/>
      <c r="X348" s="91"/>
    </row>
    <row r="349" spans="4:24" hidden="1" x14ac:dyDescent="0.2">
      <c r="D349" t="s">
        <v>442</v>
      </c>
      <c r="E349">
        <v>5</v>
      </c>
      <c r="F349" s="28">
        <f>NT_D!I37</f>
        <v>27</v>
      </c>
      <c r="G349" s="28" t="str">
        <f>IF(NT_D!J37&lt;&gt;"",NT_D!J37,"")</f>
        <v/>
      </c>
      <c r="H349" s="49">
        <f t="shared" si="12"/>
        <v>0</v>
      </c>
      <c r="I349">
        <f t="shared" si="13"/>
        <v>0</v>
      </c>
      <c r="J349" s="90">
        <f>NT_D!K37</f>
        <v>0</v>
      </c>
      <c r="K349" s="91">
        <f>NT_D!L37</f>
        <v>0</v>
      </c>
      <c r="L349" s="90"/>
      <c r="M349" s="92"/>
      <c r="N349" s="92"/>
      <c r="O349" s="92"/>
      <c r="P349" s="92"/>
      <c r="Q349" s="92"/>
      <c r="R349" s="92"/>
      <c r="S349" s="92"/>
      <c r="T349" s="92"/>
      <c r="U349" s="92"/>
      <c r="V349" s="92"/>
      <c r="W349" s="92"/>
      <c r="X349" s="91"/>
    </row>
    <row r="350" spans="4:24" hidden="1" x14ac:dyDescent="0.2">
      <c r="D350" t="s">
        <v>442</v>
      </c>
      <c r="E350">
        <v>5</v>
      </c>
      <c r="F350" s="28">
        <f>NT_D!I39</f>
        <v>28</v>
      </c>
      <c r="G350" s="28" t="str">
        <f>IF(NT_D!J39&lt;&gt;"",NT_D!J39,"")</f>
        <v/>
      </c>
      <c r="H350" s="49">
        <f t="shared" si="12"/>
        <v>0</v>
      </c>
      <c r="I350">
        <f t="shared" si="13"/>
        <v>0</v>
      </c>
      <c r="J350" s="90">
        <f>NT_D!K39</f>
        <v>0</v>
      </c>
      <c r="K350" s="91">
        <f>NT_D!L39</f>
        <v>0</v>
      </c>
      <c r="L350" s="90"/>
      <c r="M350" s="92"/>
      <c r="N350" s="92"/>
      <c r="O350" s="92"/>
      <c r="P350" s="92"/>
      <c r="Q350" s="92"/>
      <c r="R350" s="92"/>
      <c r="S350" s="92"/>
      <c r="T350" s="92"/>
      <c r="U350" s="92"/>
      <c r="V350" s="92"/>
      <c r="W350" s="92"/>
      <c r="X350" s="91"/>
    </row>
    <row r="351" spans="4:24" hidden="1" x14ac:dyDescent="0.2">
      <c r="D351" t="s">
        <v>442</v>
      </c>
      <c r="E351">
        <v>5</v>
      </c>
      <c r="F351" s="28">
        <f>NT_D!I40</f>
        <v>29</v>
      </c>
      <c r="G351" s="28" t="str">
        <f>IF(NT_D!J40&lt;&gt;"",NT_D!J40,"")</f>
        <v/>
      </c>
      <c r="H351" s="49">
        <f t="shared" si="12"/>
        <v>0</v>
      </c>
      <c r="I351">
        <f t="shared" si="13"/>
        <v>0</v>
      </c>
      <c r="J351" s="90">
        <f>NT_D!K40</f>
        <v>0</v>
      </c>
      <c r="K351" s="91">
        <f>NT_D!L40</f>
        <v>0</v>
      </c>
      <c r="L351" s="90"/>
      <c r="M351" s="92"/>
      <c r="N351" s="92"/>
      <c r="O351" s="92"/>
      <c r="P351" s="92"/>
      <c r="Q351" s="92"/>
      <c r="R351" s="92"/>
      <c r="S351" s="92"/>
      <c r="T351" s="92"/>
      <c r="U351" s="92"/>
      <c r="V351" s="92"/>
      <c r="W351" s="92"/>
      <c r="X351" s="91"/>
    </row>
    <row r="352" spans="4:24" hidden="1" x14ac:dyDescent="0.2">
      <c r="D352" t="s">
        <v>442</v>
      </c>
      <c r="E352">
        <v>5</v>
      </c>
      <c r="F352" s="28">
        <f>NT_D!I41</f>
        <v>30</v>
      </c>
      <c r="G352" s="28" t="str">
        <f>IF(NT_D!J41&lt;&gt;"",NT_D!J41,"")</f>
        <v/>
      </c>
      <c r="H352" s="49">
        <f t="shared" si="12"/>
        <v>0</v>
      </c>
      <c r="I352">
        <f t="shared" si="13"/>
        <v>0</v>
      </c>
      <c r="J352" s="90">
        <f>NT_D!K41</f>
        <v>0</v>
      </c>
      <c r="K352" s="91">
        <f>NT_D!L41</f>
        <v>0</v>
      </c>
      <c r="L352" s="90"/>
      <c r="M352" s="92"/>
      <c r="N352" s="92"/>
      <c r="O352" s="92"/>
      <c r="P352" s="92"/>
      <c r="Q352" s="92"/>
      <c r="R352" s="92"/>
      <c r="S352" s="92"/>
      <c r="T352" s="92"/>
      <c r="U352" s="92"/>
      <c r="V352" s="92"/>
      <c r="W352" s="92"/>
      <c r="X352" s="91"/>
    </row>
    <row r="353" spans="4:24" hidden="1" x14ac:dyDescent="0.2">
      <c r="D353" t="s">
        <v>442</v>
      </c>
      <c r="E353">
        <v>5</v>
      </c>
      <c r="F353" s="28">
        <f>NT_D!I42</f>
        <v>31</v>
      </c>
      <c r="G353" s="28" t="str">
        <f>IF(NT_D!J42&lt;&gt;"",NT_D!J42,"")</f>
        <v/>
      </c>
      <c r="H353" s="49">
        <f t="shared" si="12"/>
        <v>0</v>
      </c>
      <c r="I353">
        <f t="shared" si="13"/>
        <v>0</v>
      </c>
      <c r="J353" s="90">
        <f>NT_D!K42</f>
        <v>0</v>
      </c>
      <c r="K353" s="91">
        <f>NT_D!L42</f>
        <v>0</v>
      </c>
      <c r="L353" s="90"/>
      <c r="M353" s="92"/>
      <c r="N353" s="92"/>
      <c r="O353" s="92"/>
      <c r="P353" s="92"/>
      <c r="Q353" s="92"/>
      <c r="R353" s="92"/>
      <c r="S353" s="92"/>
      <c r="T353" s="92"/>
      <c r="U353" s="92"/>
      <c r="V353" s="92"/>
      <c r="W353" s="92"/>
      <c r="X353" s="91"/>
    </row>
    <row r="354" spans="4:24" hidden="1" x14ac:dyDescent="0.2">
      <c r="D354" t="s">
        <v>442</v>
      </c>
      <c r="E354">
        <v>5</v>
      </c>
      <c r="F354" s="28">
        <f>NT_D!I43</f>
        <v>32</v>
      </c>
      <c r="G354" s="28" t="str">
        <f>IF(NT_D!J43&lt;&gt;"",NT_D!J43,"")</f>
        <v/>
      </c>
      <c r="H354" s="49">
        <f t="shared" si="12"/>
        <v>0</v>
      </c>
      <c r="I354">
        <f t="shared" si="13"/>
        <v>0</v>
      </c>
      <c r="J354" s="90">
        <f>NT_D!K43</f>
        <v>0</v>
      </c>
      <c r="K354" s="91">
        <f>NT_D!L43</f>
        <v>0</v>
      </c>
      <c r="L354" s="90"/>
      <c r="M354" s="92"/>
      <c r="N354" s="92"/>
      <c r="O354" s="92"/>
      <c r="P354" s="92"/>
      <c r="Q354" s="92"/>
      <c r="R354" s="92"/>
      <c r="S354" s="92"/>
      <c r="T354" s="92"/>
      <c r="U354" s="92"/>
      <c r="V354" s="92"/>
      <c r="W354" s="92"/>
      <c r="X354" s="91"/>
    </row>
    <row r="355" spans="4:24" hidden="1" x14ac:dyDescent="0.2">
      <c r="D355" t="s">
        <v>442</v>
      </c>
      <c r="E355">
        <v>5</v>
      </c>
      <c r="F355" s="28">
        <f>NT_D!I44</f>
        <v>33</v>
      </c>
      <c r="G355" s="28" t="str">
        <f>IF(NT_D!J44&lt;&gt;"",NT_D!J44,"")</f>
        <v/>
      </c>
      <c r="H355" s="49">
        <f t="shared" si="12"/>
        <v>0</v>
      </c>
      <c r="I355">
        <f t="shared" si="13"/>
        <v>0</v>
      </c>
      <c r="J355" s="90">
        <f>NT_D!K44</f>
        <v>0</v>
      </c>
      <c r="K355" s="91">
        <f>NT_D!L44</f>
        <v>0</v>
      </c>
      <c r="L355" s="90"/>
      <c r="M355" s="92"/>
      <c r="N355" s="92"/>
      <c r="O355" s="92"/>
      <c r="P355" s="92"/>
      <c r="Q355" s="92"/>
      <c r="R355" s="92"/>
      <c r="S355" s="92"/>
      <c r="T355" s="92"/>
      <c r="U355" s="92"/>
      <c r="V355" s="92"/>
      <c r="W355" s="92"/>
      <c r="X355" s="91"/>
    </row>
    <row r="356" spans="4:24" hidden="1" x14ac:dyDescent="0.2">
      <c r="D356" t="s">
        <v>442</v>
      </c>
      <c r="E356">
        <v>5</v>
      </c>
      <c r="F356" s="28">
        <f>NT_D!I45</f>
        <v>34</v>
      </c>
      <c r="G356" s="28" t="str">
        <f>IF(NT_D!J45&lt;&gt;"",NT_D!J45,"")</f>
        <v/>
      </c>
      <c r="H356" s="49">
        <f t="shared" si="12"/>
        <v>0</v>
      </c>
      <c r="I356">
        <f t="shared" si="13"/>
        <v>0</v>
      </c>
      <c r="J356" s="90">
        <f>NT_D!K45</f>
        <v>0</v>
      </c>
      <c r="K356" s="91">
        <f>NT_D!L45</f>
        <v>0</v>
      </c>
      <c r="L356" s="90"/>
      <c r="M356" s="92"/>
      <c r="N356" s="92"/>
      <c r="O356" s="92"/>
      <c r="P356" s="92"/>
      <c r="Q356" s="92"/>
      <c r="R356" s="92"/>
      <c r="S356" s="92"/>
      <c r="T356" s="92"/>
      <c r="U356" s="92"/>
      <c r="V356" s="92"/>
      <c r="W356" s="92"/>
      <c r="X356" s="91"/>
    </row>
    <row r="357" spans="4:24" hidden="1" x14ac:dyDescent="0.2">
      <c r="D357" t="s">
        <v>442</v>
      </c>
      <c r="E357">
        <v>5</v>
      </c>
      <c r="F357" s="28">
        <f>NT_D!I46</f>
        <v>35</v>
      </c>
      <c r="G357" s="28" t="str">
        <f>IF(NT_D!J46&lt;&gt;"",NT_D!J46,"")</f>
        <v/>
      </c>
      <c r="H357" s="49">
        <f t="shared" si="12"/>
        <v>0</v>
      </c>
      <c r="I357">
        <f t="shared" si="13"/>
        <v>0</v>
      </c>
      <c r="J357" s="90">
        <f>NT_D!K46</f>
        <v>0</v>
      </c>
      <c r="K357" s="91">
        <f>NT_D!L46</f>
        <v>0</v>
      </c>
      <c r="L357" s="90"/>
      <c r="M357" s="92"/>
      <c r="N357" s="92"/>
      <c r="O357" s="92"/>
      <c r="P357" s="92"/>
      <c r="Q357" s="92"/>
      <c r="R357" s="92"/>
      <c r="S357" s="92"/>
      <c r="T357" s="92"/>
      <c r="U357" s="92"/>
      <c r="V357" s="92"/>
      <c r="W357" s="92"/>
      <c r="X357" s="91"/>
    </row>
    <row r="358" spans="4:24" hidden="1" x14ac:dyDescent="0.2">
      <c r="D358" t="s">
        <v>442</v>
      </c>
      <c r="E358">
        <v>5</v>
      </c>
      <c r="F358" s="28">
        <f>NT_D!I47</f>
        <v>36</v>
      </c>
      <c r="G358" s="28" t="str">
        <f>IF(NT_D!J47&lt;&gt;"",NT_D!J47,"")</f>
        <v/>
      </c>
      <c r="H358" s="49">
        <f t="shared" si="12"/>
        <v>0</v>
      </c>
      <c r="I358">
        <f t="shared" si="13"/>
        <v>0</v>
      </c>
      <c r="J358" s="90">
        <f>NT_D!K47</f>
        <v>0</v>
      </c>
      <c r="K358" s="91">
        <f>NT_D!L47</f>
        <v>0</v>
      </c>
      <c r="L358" s="90"/>
      <c r="M358" s="92"/>
      <c r="N358" s="92"/>
      <c r="O358" s="92"/>
      <c r="P358" s="92"/>
      <c r="Q358" s="92"/>
      <c r="R358" s="92"/>
      <c r="S358" s="92"/>
      <c r="T358" s="92"/>
      <c r="U358" s="92"/>
      <c r="V358" s="92"/>
      <c r="W358" s="92"/>
      <c r="X358" s="91"/>
    </row>
    <row r="359" spans="4:24" hidden="1" x14ac:dyDescent="0.2">
      <c r="D359" t="s">
        <v>442</v>
      </c>
      <c r="E359">
        <v>5</v>
      </c>
      <c r="F359" s="28">
        <f>NT_D!I48</f>
        <v>37</v>
      </c>
      <c r="G359" s="28" t="str">
        <f>IF(NT_D!J48&lt;&gt;"",NT_D!J48,"")</f>
        <v/>
      </c>
      <c r="H359" s="49">
        <f t="shared" si="12"/>
        <v>0</v>
      </c>
      <c r="I359">
        <f t="shared" si="13"/>
        <v>0</v>
      </c>
      <c r="J359" s="90">
        <f>NT_D!K48</f>
        <v>0</v>
      </c>
      <c r="K359" s="91">
        <f>NT_D!L48</f>
        <v>0</v>
      </c>
      <c r="L359" s="90"/>
      <c r="M359" s="92"/>
      <c r="N359" s="92"/>
      <c r="O359" s="92"/>
      <c r="P359" s="92"/>
      <c r="Q359" s="92"/>
      <c r="R359" s="92"/>
      <c r="S359" s="92"/>
      <c r="T359" s="92"/>
      <c r="U359" s="92"/>
      <c r="V359" s="92"/>
      <c r="W359" s="92"/>
      <c r="X359" s="91"/>
    </row>
    <row r="360" spans="4:24" hidden="1" x14ac:dyDescent="0.2">
      <c r="D360" t="s">
        <v>442</v>
      </c>
      <c r="E360">
        <v>5</v>
      </c>
      <c r="F360" s="28">
        <f>NT_D!I49</f>
        <v>38</v>
      </c>
      <c r="G360" s="28" t="str">
        <f>IF(NT_D!J49&lt;&gt;"",NT_D!J49,"")</f>
        <v/>
      </c>
      <c r="H360" s="49">
        <f t="shared" si="12"/>
        <v>0</v>
      </c>
      <c r="I360">
        <f t="shared" si="13"/>
        <v>0</v>
      </c>
      <c r="J360" s="90">
        <f>NT_D!K49</f>
        <v>0</v>
      </c>
      <c r="K360" s="91">
        <f>NT_D!L49</f>
        <v>0</v>
      </c>
      <c r="L360" s="90"/>
      <c r="M360" s="92"/>
      <c r="N360" s="92"/>
      <c r="O360" s="92"/>
      <c r="P360" s="92"/>
      <c r="Q360" s="92"/>
      <c r="R360" s="92"/>
      <c r="S360" s="92"/>
      <c r="T360" s="92"/>
      <c r="U360" s="92"/>
      <c r="V360" s="92"/>
      <c r="W360" s="92"/>
      <c r="X360" s="91"/>
    </row>
    <row r="361" spans="4:24" hidden="1" x14ac:dyDescent="0.2">
      <c r="D361" t="s">
        <v>442</v>
      </c>
      <c r="E361">
        <v>5</v>
      </c>
      <c r="F361" s="28">
        <f>NT_D!I50</f>
        <v>39</v>
      </c>
      <c r="G361" s="28" t="str">
        <f>IF(NT_D!J50&lt;&gt;"",NT_D!J50,"")</f>
        <v/>
      </c>
      <c r="H361" s="49">
        <f t="shared" si="12"/>
        <v>0</v>
      </c>
      <c r="I361">
        <f t="shared" si="13"/>
        <v>0</v>
      </c>
      <c r="J361" s="90">
        <f>NT_D!K50</f>
        <v>0</v>
      </c>
      <c r="K361" s="91">
        <f>NT_D!L50</f>
        <v>0</v>
      </c>
      <c r="L361" s="90"/>
      <c r="M361" s="92"/>
      <c r="N361" s="92"/>
      <c r="O361" s="92"/>
      <c r="P361" s="92"/>
      <c r="Q361" s="92"/>
      <c r="R361" s="92"/>
      <c r="S361" s="92"/>
      <c r="T361" s="92"/>
      <c r="U361" s="92"/>
      <c r="V361" s="92"/>
      <c r="W361" s="92"/>
      <c r="X361" s="91"/>
    </row>
    <row r="362" spans="4:24" hidden="1" x14ac:dyDescent="0.2">
      <c r="D362" t="s">
        <v>442</v>
      </c>
      <c r="E362">
        <v>5</v>
      </c>
      <c r="F362" s="28">
        <f>NT_D!I51</f>
        <v>40</v>
      </c>
      <c r="G362" s="28" t="str">
        <f>IF(NT_D!J51&lt;&gt;"",NT_D!J51,"")</f>
        <v/>
      </c>
      <c r="H362" s="49">
        <f t="shared" si="12"/>
        <v>0</v>
      </c>
      <c r="I362">
        <f t="shared" si="13"/>
        <v>0</v>
      </c>
      <c r="J362" s="90">
        <f>NT_D!K51</f>
        <v>0</v>
      </c>
      <c r="K362" s="91">
        <f>NT_D!L51</f>
        <v>0</v>
      </c>
      <c r="L362" s="90"/>
      <c r="M362" s="92"/>
      <c r="N362" s="92"/>
      <c r="O362" s="92"/>
      <c r="P362" s="92"/>
      <c r="Q362" s="92"/>
      <c r="R362" s="92"/>
      <c r="S362" s="92"/>
      <c r="T362" s="92"/>
      <c r="U362" s="92"/>
      <c r="V362" s="92"/>
      <c r="W362" s="92"/>
      <c r="X362" s="91"/>
    </row>
    <row r="363" spans="4:24" hidden="1" x14ac:dyDescent="0.2">
      <c r="D363" t="s">
        <v>442</v>
      </c>
      <c r="E363">
        <v>5</v>
      </c>
      <c r="F363" s="28">
        <f>NT_D!I52</f>
        <v>41</v>
      </c>
      <c r="G363" s="28" t="str">
        <f>IF(NT_D!J52&lt;&gt;"",NT_D!J52,"")</f>
        <v/>
      </c>
      <c r="H363" s="49">
        <f t="shared" si="12"/>
        <v>0</v>
      </c>
      <c r="I363">
        <f t="shared" si="13"/>
        <v>0</v>
      </c>
      <c r="J363" s="90">
        <f>NT_D!K52</f>
        <v>0</v>
      </c>
      <c r="K363" s="91">
        <f>NT_D!L52</f>
        <v>0</v>
      </c>
      <c r="L363" s="90"/>
      <c r="M363" s="92"/>
      <c r="N363" s="92"/>
      <c r="O363" s="92"/>
      <c r="P363" s="92"/>
      <c r="Q363" s="92"/>
      <c r="R363" s="92"/>
      <c r="S363" s="92"/>
      <c r="T363" s="92"/>
      <c r="U363" s="92"/>
      <c r="V363" s="92"/>
      <c r="W363" s="92"/>
      <c r="X363" s="91"/>
    </row>
    <row r="364" spans="4:24" hidden="1" x14ac:dyDescent="0.2">
      <c r="D364" t="s">
        <v>442</v>
      </c>
      <c r="E364">
        <v>5</v>
      </c>
      <c r="F364" s="28">
        <f>NT_D!I53</f>
        <v>42</v>
      </c>
      <c r="G364" s="28" t="str">
        <f>IF(NT_D!J53&lt;&gt;"",NT_D!J53,"")</f>
        <v/>
      </c>
      <c r="H364" s="49">
        <f t="shared" si="12"/>
        <v>0</v>
      </c>
      <c r="I364">
        <f t="shared" si="13"/>
        <v>0</v>
      </c>
      <c r="J364" s="90">
        <f>NT_D!K53</f>
        <v>0</v>
      </c>
      <c r="K364" s="91">
        <f>NT_D!L53</f>
        <v>0</v>
      </c>
      <c r="L364" s="90"/>
      <c r="M364" s="92"/>
      <c r="N364" s="92"/>
      <c r="O364" s="92"/>
      <c r="P364" s="92"/>
      <c r="Q364" s="92"/>
      <c r="R364" s="92"/>
      <c r="S364" s="92"/>
      <c r="T364" s="92"/>
      <c r="U364" s="92"/>
      <c r="V364" s="92"/>
      <c r="W364" s="92"/>
      <c r="X364" s="91"/>
    </row>
    <row r="365" spans="4:24" hidden="1" x14ac:dyDescent="0.2">
      <c r="D365" t="s">
        <v>442</v>
      </c>
      <c r="E365">
        <v>5</v>
      </c>
      <c r="F365" s="28">
        <f>NT_D!I54</f>
        <v>43</v>
      </c>
      <c r="G365" s="28" t="str">
        <f>IF(NT_D!J54&lt;&gt;"",NT_D!J54,"")</f>
        <v/>
      </c>
      <c r="H365" s="49">
        <f t="shared" si="12"/>
        <v>0</v>
      </c>
      <c r="I365">
        <f t="shared" si="13"/>
        <v>0</v>
      </c>
      <c r="J365" s="90">
        <f>NT_D!K54</f>
        <v>0</v>
      </c>
      <c r="K365" s="91">
        <f>NT_D!L54</f>
        <v>0</v>
      </c>
      <c r="L365" s="90"/>
      <c r="M365" s="92"/>
      <c r="N365" s="92"/>
      <c r="O365" s="92"/>
      <c r="P365" s="92"/>
      <c r="Q365" s="92"/>
      <c r="R365" s="92"/>
      <c r="S365" s="92"/>
      <c r="T365" s="92"/>
      <c r="U365" s="92"/>
      <c r="V365" s="92"/>
      <c r="W365" s="92"/>
      <c r="X365" s="91"/>
    </row>
    <row r="366" spans="4:24" hidden="1" x14ac:dyDescent="0.2">
      <c r="D366" t="s">
        <v>442</v>
      </c>
      <c r="E366">
        <v>5</v>
      </c>
      <c r="F366" s="28">
        <f>NT_D!I55</f>
        <v>44</v>
      </c>
      <c r="G366" s="28" t="str">
        <f>IF(NT_D!J55&lt;&gt;"",NT_D!J55,"")</f>
        <v/>
      </c>
      <c r="H366" s="49">
        <f t="shared" si="12"/>
        <v>0</v>
      </c>
      <c r="I366">
        <f t="shared" si="13"/>
        <v>0</v>
      </c>
      <c r="J366" s="90">
        <f>NT_D!K55</f>
        <v>0</v>
      </c>
      <c r="K366" s="91">
        <f>NT_D!L55</f>
        <v>0</v>
      </c>
      <c r="L366" s="90"/>
      <c r="M366" s="92"/>
      <c r="N366" s="92"/>
      <c r="O366" s="92"/>
      <c r="P366" s="92"/>
      <c r="Q366" s="92"/>
      <c r="R366" s="92"/>
      <c r="S366" s="92"/>
      <c r="T366" s="92"/>
      <c r="U366" s="92"/>
      <c r="V366" s="92"/>
      <c r="W366" s="92"/>
      <c r="X366" s="91"/>
    </row>
    <row r="367" spans="4:24" hidden="1" x14ac:dyDescent="0.2">
      <c r="D367" t="s">
        <v>442</v>
      </c>
      <c r="E367">
        <v>5</v>
      </c>
      <c r="F367" s="28">
        <f>NT_D!I56</f>
        <v>45</v>
      </c>
      <c r="G367" s="28" t="str">
        <f>IF(NT_D!J56&lt;&gt;"",NT_D!J56,"")</f>
        <v/>
      </c>
      <c r="H367" s="49">
        <f t="shared" si="12"/>
        <v>0</v>
      </c>
      <c r="I367">
        <f t="shared" si="13"/>
        <v>0</v>
      </c>
      <c r="J367" s="90">
        <f>NT_D!K56</f>
        <v>0</v>
      </c>
      <c r="K367" s="91">
        <f>NT_D!L56</f>
        <v>0</v>
      </c>
      <c r="L367" s="90"/>
      <c r="M367" s="92"/>
      <c r="N367" s="92"/>
      <c r="O367" s="92"/>
      <c r="P367" s="92"/>
      <c r="Q367" s="92"/>
      <c r="R367" s="92"/>
      <c r="S367" s="92"/>
      <c r="T367" s="92"/>
      <c r="U367" s="92"/>
      <c r="V367" s="92"/>
      <c r="W367" s="92"/>
      <c r="X367" s="91"/>
    </row>
    <row r="368" spans="4:24" hidden="1" x14ac:dyDescent="0.2">
      <c r="D368" t="s">
        <v>1411</v>
      </c>
      <c r="E368">
        <v>6</v>
      </c>
      <c r="F368" s="28">
        <f>PK!I9</f>
        <v>1</v>
      </c>
      <c r="G368" s="28" t="str">
        <f>IF(PK!J9&lt;&gt;"",PK!J9,"")</f>
        <v/>
      </c>
      <c r="H368" s="49">
        <f t="shared" si="12"/>
        <v>48780030</v>
      </c>
      <c r="I368">
        <f t="shared" si="13"/>
        <v>0</v>
      </c>
      <c r="J368" s="90">
        <f>PK!K9</f>
        <v>1626001000</v>
      </c>
      <c r="K368" s="91">
        <f>PK!L9</f>
        <v>1626001000</v>
      </c>
      <c r="L368" s="90"/>
      <c r="M368" s="92"/>
      <c r="N368" s="92"/>
      <c r="O368" s="92"/>
      <c r="P368" s="92"/>
      <c r="Q368" s="92"/>
      <c r="R368" s="92"/>
      <c r="S368" s="92"/>
      <c r="T368" s="92"/>
      <c r="U368" s="92"/>
      <c r="V368" s="92"/>
      <c r="W368" s="92"/>
      <c r="X368" s="91"/>
    </row>
    <row r="369" spans="4:24" hidden="1" x14ac:dyDescent="0.2">
      <c r="D369" t="s">
        <v>1411</v>
      </c>
      <c r="E369">
        <v>6</v>
      </c>
      <c r="F369" s="28">
        <f>PK!I10</f>
        <v>2</v>
      </c>
      <c r="G369" s="28" t="str">
        <f>IF(PK!J10&lt;&gt;"",PK!J10,"")</f>
        <v/>
      </c>
      <c r="H369" s="49">
        <f t="shared" si="12"/>
        <v>1566040</v>
      </c>
      <c r="I369">
        <f t="shared" si="13"/>
        <v>0</v>
      </c>
      <c r="J369" s="90">
        <f>PK!K10</f>
        <v>33164000</v>
      </c>
      <c r="K369" s="91">
        <f>PK!L10</f>
        <v>22569000</v>
      </c>
      <c r="L369" s="90"/>
      <c r="M369" s="92"/>
      <c r="N369" s="92"/>
      <c r="O369" s="92"/>
      <c r="P369" s="92"/>
      <c r="Q369" s="92"/>
      <c r="R369" s="92"/>
      <c r="S369" s="92"/>
      <c r="T369" s="92"/>
      <c r="U369" s="92"/>
      <c r="V369" s="92"/>
      <c r="W369" s="92"/>
      <c r="X369" s="91"/>
    </row>
    <row r="370" spans="4:24" hidden="1" x14ac:dyDescent="0.2">
      <c r="D370" t="s">
        <v>1411</v>
      </c>
      <c r="E370">
        <v>6</v>
      </c>
      <c r="F370" s="28">
        <f>PK!I11</f>
        <v>3</v>
      </c>
      <c r="G370" s="28" t="str">
        <f>IF(PK!J11&lt;&gt;"",PK!J11,"")</f>
        <v/>
      </c>
      <c r="H370" s="49">
        <f t="shared" si="12"/>
        <v>8779050</v>
      </c>
      <c r="I370">
        <f t="shared" si="13"/>
        <v>0</v>
      </c>
      <c r="J370" s="90">
        <f>PK!K11</f>
        <v>121013000</v>
      </c>
      <c r="K370" s="91">
        <f>PK!L11</f>
        <v>85811000</v>
      </c>
      <c r="L370" s="90"/>
      <c r="M370" s="92"/>
      <c r="N370" s="92"/>
      <c r="O370" s="92"/>
      <c r="P370" s="92"/>
      <c r="Q370" s="92"/>
      <c r="R370" s="92"/>
      <c r="S370" s="92"/>
      <c r="T370" s="92"/>
      <c r="U370" s="92"/>
      <c r="V370" s="92"/>
      <c r="W370" s="92"/>
      <c r="X370" s="91"/>
    </row>
    <row r="371" spans="4:24" hidden="1" x14ac:dyDescent="0.2">
      <c r="D371" t="s">
        <v>1411</v>
      </c>
      <c r="E371">
        <v>6</v>
      </c>
      <c r="F371" s="28">
        <f>PK!I12</f>
        <v>4</v>
      </c>
      <c r="G371" s="28" t="str">
        <f>IF(PK!J12&lt;&gt;"",PK!J12,"")</f>
        <v/>
      </c>
      <c r="H371" s="49">
        <f t="shared" si="12"/>
        <v>27796720</v>
      </c>
      <c r="I371">
        <f t="shared" si="13"/>
        <v>0</v>
      </c>
      <c r="J371" s="90">
        <f>PK!K12</f>
        <v>177864000</v>
      </c>
      <c r="K371" s="91">
        <f>PK!L12</f>
        <v>258527000</v>
      </c>
      <c r="L371" s="90"/>
      <c r="M371" s="92"/>
      <c r="N371" s="92"/>
      <c r="O371" s="92"/>
      <c r="P371" s="92"/>
      <c r="Q371" s="92"/>
      <c r="R371" s="92"/>
      <c r="S371" s="92"/>
      <c r="T371" s="92"/>
      <c r="U371" s="92"/>
      <c r="V371" s="92"/>
      <c r="W371" s="92"/>
      <c r="X371" s="91"/>
    </row>
    <row r="372" spans="4:24" hidden="1" x14ac:dyDescent="0.2">
      <c r="D372" t="s">
        <v>1411</v>
      </c>
      <c r="E372">
        <v>6</v>
      </c>
      <c r="F372" s="28">
        <f>PK!I13</f>
        <v>5</v>
      </c>
      <c r="G372" s="28" t="str">
        <f>IF(PK!J13&lt;&gt;"",PK!J13,"")</f>
        <v/>
      </c>
      <c r="H372" s="49">
        <f t="shared" si="12"/>
        <v>1411650</v>
      </c>
      <c r="I372">
        <f t="shared" si="13"/>
        <v>0</v>
      </c>
      <c r="J372" s="90">
        <f>PK!K13</f>
        <v>15831000</v>
      </c>
      <c r="K372" s="91">
        <f>PK!L13</f>
        <v>6201000</v>
      </c>
      <c r="L372" s="90"/>
      <c r="M372" s="92"/>
      <c r="N372" s="92"/>
      <c r="O372" s="92"/>
      <c r="P372" s="92"/>
      <c r="Q372" s="92"/>
      <c r="R372" s="92"/>
      <c r="S372" s="92"/>
      <c r="T372" s="92"/>
      <c r="U372" s="92"/>
      <c r="V372" s="92"/>
      <c r="W372" s="92"/>
      <c r="X372" s="91"/>
    </row>
    <row r="373" spans="4:24" hidden="1" x14ac:dyDescent="0.2">
      <c r="D373" t="s">
        <v>1411</v>
      </c>
      <c r="E373">
        <v>6</v>
      </c>
      <c r="F373" s="28">
        <f>PK!I14</f>
        <v>6</v>
      </c>
      <c r="G373" s="28" t="str">
        <f>IF(PK!J14&lt;&gt;"",PK!J14,"")</f>
        <v/>
      </c>
      <c r="H373" s="49">
        <f t="shared" si="12"/>
        <v>0</v>
      </c>
      <c r="I373">
        <f t="shared" si="13"/>
        <v>0</v>
      </c>
      <c r="J373" s="90">
        <f>PK!K14</f>
        <v>0</v>
      </c>
      <c r="K373" s="91">
        <f>PK!L14</f>
        <v>0</v>
      </c>
      <c r="L373" s="90"/>
      <c r="M373" s="92"/>
      <c r="N373" s="92"/>
      <c r="O373" s="92"/>
      <c r="P373" s="92"/>
      <c r="Q373" s="92"/>
      <c r="R373" s="92"/>
      <c r="S373" s="92"/>
      <c r="T373" s="92"/>
      <c r="U373" s="92"/>
      <c r="V373" s="92"/>
      <c r="W373" s="92"/>
      <c r="X373" s="91"/>
    </row>
    <row r="374" spans="4:24" hidden="1" x14ac:dyDescent="0.2">
      <c r="D374" t="s">
        <v>1411</v>
      </c>
      <c r="E374">
        <v>6</v>
      </c>
      <c r="F374" s="28">
        <f>PK!I15</f>
        <v>7</v>
      </c>
      <c r="G374" s="28" t="str">
        <f>IF(PK!J15&lt;&gt;"",PK!J15,"")</f>
        <v/>
      </c>
      <c r="H374" s="49">
        <f t="shared" si="12"/>
        <v>0</v>
      </c>
      <c r="I374">
        <f t="shared" si="13"/>
        <v>0</v>
      </c>
      <c r="J374" s="90">
        <f>PK!K15</f>
        <v>0</v>
      </c>
      <c r="K374" s="91">
        <f>PK!L15</f>
        <v>0</v>
      </c>
      <c r="L374" s="90"/>
      <c r="M374" s="92"/>
      <c r="N374" s="92"/>
      <c r="O374" s="92"/>
      <c r="P374" s="92"/>
      <c r="Q374" s="92"/>
      <c r="R374" s="92"/>
      <c r="S374" s="92"/>
      <c r="T374" s="92"/>
      <c r="U374" s="92"/>
      <c r="V374" s="92"/>
      <c r="W374" s="92"/>
      <c r="X374" s="91"/>
    </row>
    <row r="375" spans="4:24" hidden="1" x14ac:dyDescent="0.2">
      <c r="D375" t="s">
        <v>1411</v>
      </c>
      <c r="E375">
        <v>6</v>
      </c>
      <c r="F375" s="28">
        <f>PK!I16</f>
        <v>8</v>
      </c>
      <c r="G375" s="28" t="str">
        <f>IF(PK!J16&lt;&gt;"",PK!J16,"")</f>
        <v/>
      </c>
      <c r="H375" s="49">
        <f t="shared" si="12"/>
        <v>0</v>
      </c>
      <c r="I375">
        <f t="shared" si="13"/>
        <v>0</v>
      </c>
      <c r="J375" s="90">
        <f>PK!K16</f>
        <v>0</v>
      </c>
      <c r="K375" s="91">
        <f>PK!L16</f>
        <v>0</v>
      </c>
      <c r="L375" s="90"/>
      <c r="M375" s="92"/>
      <c r="N375" s="92"/>
      <c r="O375" s="92"/>
      <c r="P375" s="92"/>
      <c r="Q375" s="92"/>
      <c r="R375" s="92"/>
      <c r="S375" s="92"/>
      <c r="T375" s="92"/>
      <c r="U375" s="92"/>
      <c r="V375" s="92"/>
      <c r="W375" s="92"/>
      <c r="X375" s="91"/>
    </row>
    <row r="376" spans="4:24" hidden="1" x14ac:dyDescent="0.2">
      <c r="D376" t="s">
        <v>1411</v>
      </c>
      <c r="E376">
        <v>6</v>
      </c>
      <c r="F376" s="28">
        <f>PK!I17</f>
        <v>9</v>
      </c>
      <c r="G376" s="28" t="str">
        <f>IF(PK!J17&lt;&gt;"",PK!J17,"")</f>
        <v/>
      </c>
      <c r="H376" s="49">
        <f t="shared" si="12"/>
        <v>0</v>
      </c>
      <c r="I376">
        <f t="shared" si="13"/>
        <v>0</v>
      </c>
      <c r="J376" s="90">
        <f>PK!K17</f>
        <v>0</v>
      </c>
      <c r="K376" s="91">
        <f>PK!L17</f>
        <v>0</v>
      </c>
      <c r="L376" s="90"/>
      <c r="M376" s="92"/>
      <c r="N376" s="92"/>
      <c r="O376" s="92"/>
      <c r="P376" s="92"/>
      <c r="Q376" s="92"/>
      <c r="R376" s="92"/>
      <c r="S376" s="92"/>
      <c r="T376" s="92"/>
      <c r="U376" s="92"/>
      <c r="V376" s="92"/>
      <c r="W376" s="92"/>
      <c r="X376" s="91"/>
    </row>
    <row r="377" spans="4:24" hidden="1" x14ac:dyDescent="0.2">
      <c r="D377" t="s">
        <v>1411</v>
      </c>
      <c r="E377">
        <v>6</v>
      </c>
      <c r="F377" s="28">
        <f>PK!I18</f>
        <v>10</v>
      </c>
      <c r="G377" s="28" t="str">
        <f>IF(PK!J18&lt;&gt;"",PK!J18,"")</f>
        <v/>
      </c>
      <c r="H377" s="49">
        <f>J377/100*F377+2*K377/100*F377</f>
        <v>597209100</v>
      </c>
      <c r="I377">
        <f t="shared" si="13"/>
        <v>0</v>
      </c>
      <c r="J377" s="90">
        <f>PK!K18</f>
        <v>1973873000</v>
      </c>
      <c r="K377" s="91">
        <f>PK!L18</f>
        <v>1999109000</v>
      </c>
      <c r="L377" s="90"/>
      <c r="M377" s="92"/>
      <c r="N377" s="92"/>
      <c r="O377" s="92"/>
      <c r="P377" s="92"/>
      <c r="Q377" s="92"/>
      <c r="R377" s="92"/>
      <c r="S377" s="92"/>
      <c r="T377" s="92"/>
      <c r="U377" s="92"/>
      <c r="V377" s="92"/>
      <c r="W377" s="92"/>
      <c r="X377" s="91"/>
    </row>
    <row r="378" spans="4:24" hidden="1" x14ac:dyDescent="0.2">
      <c r="D378" t="s">
        <v>1411</v>
      </c>
      <c r="E378">
        <v>6</v>
      </c>
      <c r="F378" s="28">
        <f>PK!I19</f>
        <v>11</v>
      </c>
      <c r="G378" s="28" t="str">
        <f>IF(PK!J19&lt;&gt;"",PK!J19,"")</f>
        <v/>
      </c>
      <c r="H378" s="49">
        <f t="shared" si="12"/>
        <v>-1444520</v>
      </c>
      <c r="I378">
        <f t="shared" si="13"/>
        <v>0</v>
      </c>
      <c r="J378" s="90">
        <f>PK!K19</f>
        <v>17566000</v>
      </c>
      <c r="K378" s="91">
        <f>PK!L19</f>
        <v>-15349000</v>
      </c>
      <c r="L378" s="90"/>
      <c r="M378" s="92"/>
      <c r="N378" s="92"/>
      <c r="O378" s="92"/>
      <c r="P378" s="92"/>
      <c r="Q378" s="92"/>
      <c r="R378" s="92"/>
      <c r="S378" s="92"/>
      <c r="T378" s="92"/>
      <c r="U378" s="92"/>
      <c r="V378" s="92"/>
      <c r="W378" s="92"/>
      <c r="X378" s="91"/>
    </row>
    <row r="379" spans="4:24" hidden="1" x14ac:dyDescent="0.2">
      <c r="D379" t="s">
        <v>1411</v>
      </c>
      <c r="E379">
        <v>6</v>
      </c>
      <c r="F379" s="28">
        <f>PK!I20</f>
        <v>12</v>
      </c>
      <c r="G379" s="28" t="str">
        <f>IF(PK!J20&lt;&gt;"",PK!J20,"")</f>
        <v/>
      </c>
      <c r="H379" s="49">
        <f t="shared" si="12"/>
        <v>0</v>
      </c>
      <c r="I379">
        <f t="shared" si="13"/>
        <v>0</v>
      </c>
      <c r="J379" s="90">
        <f>PK!K20</f>
        <v>0</v>
      </c>
      <c r="K379" s="91">
        <f>PK!L20</f>
        <v>0</v>
      </c>
      <c r="L379" s="90"/>
      <c r="M379" s="92"/>
      <c r="N379" s="92"/>
      <c r="O379" s="92"/>
      <c r="P379" s="92"/>
      <c r="Q379" s="92"/>
      <c r="R379" s="92"/>
      <c r="S379" s="92"/>
      <c r="T379" s="92"/>
      <c r="U379" s="92"/>
      <c r="V379" s="92"/>
      <c r="W379" s="92"/>
      <c r="X379" s="91"/>
    </row>
    <row r="380" spans="4:24" hidden="1" x14ac:dyDescent="0.2">
      <c r="D380" t="s">
        <v>1411</v>
      </c>
      <c r="E380">
        <v>6</v>
      </c>
      <c r="F380" s="28">
        <f>PK!I21</f>
        <v>13</v>
      </c>
      <c r="G380" s="28" t="str">
        <f>IF(PK!J21&lt;&gt;"",PK!J21,"")</f>
        <v/>
      </c>
      <c r="H380" s="49">
        <f t="shared" si="12"/>
        <v>0</v>
      </c>
      <c r="I380">
        <f t="shared" si="13"/>
        <v>0</v>
      </c>
      <c r="J380" s="90">
        <f>PK!K21</f>
        <v>0</v>
      </c>
      <c r="K380" s="91">
        <f>PK!L21</f>
        <v>0</v>
      </c>
      <c r="L380" s="90"/>
      <c r="M380" s="92"/>
      <c r="N380" s="92"/>
      <c r="O380" s="92"/>
      <c r="P380" s="92"/>
      <c r="Q380" s="92"/>
      <c r="R380" s="92"/>
      <c r="S380" s="92"/>
      <c r="T380" s="92"/>
      <c r="U380" s="92"/>
      <c r="V380" s="92"/>
      <c r="W380" s="92"/>
      <c r="X380" s="91"/>
    </row>
    <row r="381" spans="4:24" hidden="1" x14ac:dyDescent="0.2">
      <c r="D381" t="s">
        <v>1411</v>
      </c>
      <c r="E381">
        <v>6</v>
      </c>
      <c r="F381" s="28">
        <f>PK!I22</f>
        <v>14</v>
      </c>
      <c r="G381" s="28" t="str">
        <f>IF(PK!J22&lt;&gt;"",PK!J22,"")</f>
        <v/>
      </c>
      <c r="H381" s="49">
        <f t="shared" si="12"/>
        <v>0</v>
      </c>
      <c r="I381">
        <f t="shared" si="13"/>
        <v>0</v>
      </c>
      <c r="J381" s="90">
        <f>PK!K22</f>
        <v>0</v>
      </c>
      <c r="K381" s="91">
        <f>PK!L22</f>
        <v>0</v>
      </c>
      <c r="L381" s="90"/>
      <c r="M381" s="92"/>
      <c r="N381" s="92"/>
      <c r="O381" s="92"/>
      <c r="P381" s="92"/>
      <c r="Q381" s="92"/>
      <c r="R381" s="92"/>
      <c r="S381" s="92"/>
      <c r="T381" s="92"/>
      <c r="U381" s="92"/>
      <c r="V381" s="92"/>
      <c r="W381" s="92"/>
      <c r="X381" s="91"/>
    </row>
    <row r="382" spans="4:24" hidden="1" x14ac:dyDescent="0.2">
      <c r="D382" t="s">
        <v>1411</v>
      </c>
      <c r="E382">
        <v>6</v>
      </c>
      <c r="F382" s="28">
        <f>PK!I23</f>
        <v>15</v>
      </c>
      <c r="G382" s="28" t="str">
        <f>IF(PK!J23&lt;&gt;"",PK!J23,"")</f>
        <v/>
      </c>
      <c r="H382" s="49">
        <f t="shared" si="12"/>
        <v>0</v>
      </c>
      <c r="I382">
        <f t="shared" si="13"/>
        <v>0</v>
      </c>
      <c r="J382" s="90">
        <f>PK!K23</f>
        <v>0</v>
      </c>
      <c r="K382" s="91">
        <f>PK!L23</f>
        <v>0</v>
      </c>
      <c r="L382" s="90"/>
      <c r="M382" s="92"/>
      <c r="N382" s="92"/>
      <c r="O382" s="92"/>
      <c r="P382" s="92"/>
      <c r="Q382" s="92"/>
      <c r="R382" s="92"/>
      <c r="S382" s="92"/>
      <c r="T382" s="92"/>
      <c r="U382" s="92"/>
      <c r="V382" s="92"/>
      <c r="W382" s="92"/>
      <c r="X382" s="91"/>
    </row>
    <row r="383" spans="4:24" hidden="1" x14ac:dyDescent="0.2">
      <c r="D383" t="s">
        <v>1411</v>
      </c>
      <c r="E383">
        <v>6</v>
      </c>
      <c r="F383" s="28">
        <f>PK!I24</f>
        <v>16</v>
      </c>
      <c r="G383" s="28" t="str">
        <f>IF(PK!J24&lt;&gt;"",PK!J24,"")</f>
        <v/>
      </c>
      <c r="H383" s="49">
        <f t="shared" si="12"/>
        <v>-29346080</v>
      </c>
      <c r="I383">
        <f t="shared" si="13"/>
        <v>0</v>
      </c>
      <c r="J383" s="90">
        <f>PK!K24</f>
        <v>-48205000</v>
      </c>
      <c r="K383" s="91">
        <f>PK!L24</f>
        <v>-67604000</v>
      </c>
      <c r="L383" s="90"/>
      <c r="M383" s="92"/>
      <c r="N383" s="92"/>
      <c r="O383" s="92"/>
      <c r="P383" s="92"/>
      <c r="Q383" s="92"/>
      <c r="R383" s="92"/>
      <c r="S383" s="92"/>
      <c r="T383" s="92"/>
      <c r="U383" s="92"/>
      <c r="V383" s="92"/>
      <c r="W383" s="92"/>
      <c r="X383" s="91"/>
    </row>
    <row r="384" spans="4:24" hidden="1" x14ac:dyDescent="0.2">
      <c r="D384" t="s">
        <v>1411</v>
      </c>
      <c r="E384">
        <v>6</v>
      </c>
      <c r="F384" s="28">
        <f>PK!I25</f>
        <v>17</v>
      </c>
      <c r="G384" s="28" t="str">
        <f>IF(PK!J25&lt;&gt;"",PK!J25,"")</f>
        <v/>
      </c>
      <c r="H384" s="49">
        <f t="shared" si="12"/>
        <v>-33412650</v>
      </c>
      <c r="I384">
        <f t="shared" si="13"/>
        <v>0</v>
      </c>
      <c r="J384" s="90">
        <f>PK!K25</f>
        <v>-30639000</v>
      </c>
      <c r="K384" s="91">
        <f>PK!L25</f>
        <v>-82953000</v>
      </c>
      <c r="L384" s="90"/>
      <c r="M384" s="92"/>
      <c r="N384" s="92"/>
      <c r="O384" s="92"/>
      <c r="P384" s="92"/>
      <c r="Q384" s="92"/>
      <c r="R384" s="92"/>
      <c r="S384" s="92"/>
      <c r="T384" s="92"/>
      <c r="U384" s="92"/>
      <c r="V384" s="92"/>
      <c r="W384" s="92"/>
      <c r="X384" s="91"/>
    </row>
    <row r="385" spans="4:24" hidden="1" x14ac:dyDescent="0.2">
      <c r="D385" t="s">
        <v>1411</v>
      </c>
      <c r="E385">
        <v>6</v>
      </c>
      <c r="F385" s="28">
        <f>PK!I27</f>
        <v>18</v>
      </c>
      <c r="G385" s="28" t="str">
        <f>IF(PK!J27&lt;&gt;"",PK!J27,"")</f>
        <v/>
      </c>
      <c r="H385" s="49">
        <f t="shared" si="12"/>
        <v>1039598280</v>
      </c>
      <c r="I385">
        <f t="shared" si="13"/>
        <v>0</v>
      </c>
      <c r="J385" s="90">
        <f>PK!K27</f>
        <v>1943234000</v>
      </c>
      <c r="K385" s="91">
        <f>PK!L27</f>
        <v>1916156000</v>
      </c>
      <c r="L385" s="90"/>
      <c r="M385" s="92"/>
      <c r="N385" s="92"/>
      <c r="O385" s="92"/>
      <c r="P385" s="92"/>
      <c r="Q385" s="92"/>
      <c r="R385" s="92"/>
      <c r="S385" s="92"/>
      <c r="T385" s="92"/>
      <c r="U385" s="92"/>
      <c r="V385" s="92"/>
      <c r="W385" s="92"/>
      <c r="X385" s="91"/>
    </row>
    <row r="386" spans="4:24" hidden="1" x14ac:dyDescent="0.2">
      <c r="D386" t="s">
        <v>1411</v>
      </c>
      <c r="E386">
        <v>6</v>
      </c>
      <c r="F386" s="28">
        <f>PK!I28</f>
        <v>19</v>
      </c>
      <c r="G386" s="28" t="str">
        <f>IF(PK!J28&lt;&gt;"",PK!J28,"")</f>
        <v/>
      </c>
      <c r="H386" s="49">
        <f t="shared" si="12"/>
        <v>13148380</v>
      </c>
      <c r="I386">
        <f t="shared" si="13"/>
        <v>0</v>
      </c>
      <c r="J386" s="90">
        <f>PK!K28</f>
        <v>0</v>
      </c>
      <c r="K386" s="91">
        <f>PK!L28</f>
        <v>34601000</v>
      </c>
    </row>
  </sheetData>
  <sheetProtection password="C79A" sheet="1" objects="1"/>
  <phoneticPr fontId="2" type="noConversion"/>
  <conditionalFormatting sqref="F2:G386">
    <cfRule type="cellIs" dxfId="4"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pageSetUpPr fitToPage="1"/>
  </sheetPr>
  <dimension ref="A1:BJ59"/>
  <sheetViews>
    <sheetView showGridLines="0" showRowColHeaders="0" workbookViewId="0">
      <pane ySplit="3" topLeftCell="A4" activePane="bottomLeft" state="frozen"/>
      <selection pane="bottomLeft" activeCell="A4" sqref="A4:J4"/>
    </sheetView>
  </sheetViews>
  <sheetFormatPr defaultColWidth="0" defaultRowHeight="12.75" zeroHeight="1" x14ac:dyDescent="0.2"/>
  <cols>
    <col min="1" max="1" width="4.28515625" customWidth="1"/>
    <col min="2" max="2" width="12.7109375" customWidth="1"/>
    <col min="3" max="5" width="10.7109375" customWidth="1"/>
    <col min="6" max="10" width="11.7109375" customWidth="1"/>
    <col min="11" max="11" width="0.85546875" customWidth="1"/>
    <col min="12" max="12" width="5.7109375" hidden="1" customWidth="1"/>
    <col min="13" max="13" width="6.85546875" hidden="1" customWidth="1"/>
    <col min="14" max="16" width="5.7109375" hidden="1" customWidth="1"/>
    <col min="17" max="17" width="13.140625" hidden="1" customWidth="1"/>
    <col min="18" max="19" width="5.7109375" hidden="1" customWidth="1"/>
  </cols>
  <sheetData>
    <row r="1" spans="1:24" ht="20.100000000000001" customHeight="1" x14ac:dyDescent="0.2">
      <c r="A1" s="312" t="s">
        <v>559</v>
      </c>
      <c r="B1" s="313"/>
      <c r="C1" s="126" t="s">
        <v>95</v>
      </c>
      <c r="D1" s="123" t="s">
        <v>560</v>
      </c>
      <c r="E1" s="123" t="s">
        <v>1410</v>
      </c>
      <c r="F1" s="144" t="s">
        <v>2177</v>
      </c>
      <c r="G1" s="123" t="s">
        <v>96</v>
      </c>
      <c r="H1" s="144" t="s">
        <v>97</v>
      </c>
      <c r="I1" s="123" t="s">
        <v>1411</v>
      </c>
      <c r="J1" s="124" t="s">
        <v>98</v>
      </c>
      <c r="M1" s="3">
        <f>SUM(L5:L50)</f>
        <v>5</v>
      </c>
    </row>
    <row r="2" spans="1:24" s="3" customFormat="1" ht="20.100000000000001" customHeight="1" thickBot="1" x14ac:dyDescent="0.25">
      <c r="A2" s="314"/>
      <c r="B2" s="315"/>
      <c r="C2" s="127" t="s">
        <v>1114</v>
      </c>
      <c r="D2" s="128" t="s">
        <v>1413</v>
      </c>
      <c r="E2" s="128" t="s">
        <v>1115</v>
      </c>
      <c r="F2" s="128" t="s">
        <v>1412</v>
      </c>
      <c r="G2" s="128" t="s">
        <v>99</v>
      </c>
      <c r="H2" s="128" t="s">
        <v>1116</v>
      </c>
      <c r="I2" s="129" t="s">
        <v>100</v>
      </c>
      <c r="J2" s="125"/>
      <c r="T2"/>
      <c r="U2"/>
      <c r="V2"/>
      <c r="W2"/>
      <c r="X2"/>
    </row>
    <row r="3" spans="1:24" ht="30" customHeight="1" thickBot="1" x14ac:dyDescent="0.25">
      <c r="A3" s="492" t="s">
        <v>139</v>
      </c>
      <c r="B3" s="492"/>
      <c r="C3" s="492" t="s">
        <v>1910</v>
      </c>
      <c r="D3" s="492"/>
      <c r="E3" s="492"/>
      <c r="F3" s="492"/>
      <c r="G3" s="492"/>
      <c r="H3" s="492"/>
      <c r="I3" s="492"/>
      <c r="J3" s="492"/>
    </row>
    <row r="4" spans="1:24" ht="20.100000000000001" customHeight="1" x14ac:dyDescent="0.2">
      <c r="A4" s="489" t="s">
        <v>1911</v>
      </c>
      <c r="B4" s="490"/>
      <c r="C4" s="490"/>
      <c r="D4" s="490"/>
      <c r="E4" s="490"/>
      <c r="F4" s="490"/>
      <c r="G4" s="490"/>
      <c r="H4" s="490"/>
      <c r="I4" s="490"/>
      <c r="J4" s="491"/>
      <c r="L4" s="38"/>
      <c r="M4" s="38"/>
      <c r="N4" s="38"/>
      <c r="O4" s="38"/>
    </row>
    <row r="5" spans="1:24" ht="30" customHeight="1" x14ac:dyDescent="0.2">
      <c r="A5" s="145" t="s">
        <v>2220</v>
      </c>
      <c r="B5" s="146" t="str">
        <f t="shared" ref="B5:B30" si="0">IF(L5=0,"Ispravno", "Nije ispravno")</f>
        <v>Ispravno</v>
      </c>
      <c r="C5" s="473" t="s">
        <v>1508</v>
      </c>
      <c r="D5" s="474"/>
      <c r="E5" s="474"/>
      <c r="F5" s="474"/>
      <c r="G5" s="474"/>
      <c r="H5" s="474"/>
      <c r="I5" s="474"/>
      <c r="J5" s="475"/>
      <c r="L5" s="38">
        <f>IF(M5+N5&gt;0,1,0)</f>
        <v>0</v>
      </c>
      <c r="M5" s="38">
        <f>IF(AND(Bilanca!K68&gt;0,Bilanca!K72&gt;0),1,0)</f>
        <v>0</v>
      </c>
      <c r="N5" s="38">
        <f>IF(AND(Bilanca!L68&gt;0,Bilanca!L72&gt;0),1,0)</f>
        <v>0</v>
      </c>
      <c r="O5" s="38"/>
    </row>
    <row r="6" spans="1:24" ht="39.950000000000003" customHeight="1" x14ac:dyDescent="0.2">
      <c r="A6" s="145" t="s">
        <v>2194</v>
      </c>
      <c r="B6" s="146" t="str">
        <f t="shared" si="0"/>
        <v>Ispravno</v>
      </c>
      <c r="C6" s="476" t="s">
        <v>1510</v>
      </c>
      <c r="D6" s="477"/>
      <c r="E6" s="477"/>
      <c r="F6" s="477"/>
      <c r="G6" s="477"/>
      <c r="H6" s="477"/>
      <c r="I6" s="477"/>
      <c r="J6" s="478"/>
      <c r="L6" s="38">
        <f>IF(OR(M6&gt;1,N6&gt;1,O6&gt;1,P6&gt;1,Q6&gt;1),1,0)</f>
        <v>0</v>
      </c>
      <c r="M6" s="38">
        <f>ABS(Bilanca!K69-Bilanca!K113)</f>
        <v>0</v>
      </c>
      <c r="N6" s="38">
        <f>ABS(Bilanca!L69-Bilanca!L113)</f>
        <v>0</v>
      </c>
      <c r="O6" s="38">
        <f>ABS(Bilanca!K70-Bilanca!K114)</f>
        <v>0</v>
      </c>
      <c r="P6">
        <f>ABS(Bilanca!L70-Bilanca!L114)</f>
        <v>0</v>
      </c>
      <c r="Q6">
        <f>IF(OR(Bilanca!L69=0,Bilanca!L113=0),2,0)</f>
        <v>0</v>
      </c>
    </row>
    <row r="7" spans="1:24" ht="53.25" customHeight="1" x14ac:dyDescent="0.2">
      <c r="A7" s="145" t="s">
        <v>2219</v>
      </c>
      <c r="B7" s="146" t="str">
        <f t="shared" si="0"/>
        <v>Ispravno</v>
      </c>
      <c r="C7" s="476" t="s">
        <v>2640</v>
      </c>
      <c r="D7" s="477"/>
      <c r="E7" s="477"/>
      <c r="F7" s="477"/>
      <c r="G7" s="477"/>
      <c r="H7" s="477"/>
      <c r="I7" s="477"/>
      <c r="J7" s="478"/>
      <c r="L7" s="38">
        <f>IF(OR(M7&gt;1, N7&gt;1,O7&gt;1),1,0)</f>
        <v>0</v>
      </c>
      <c r="M7" s="38">
        <f>IF(Opci!C17&lt;&gt;32, ABS(Bilanca!K84-RDG!K49),0)</f>
        <v>0</v>
      </c>
      <c r="N7" s="38">
        <f>IF(Opci!C17&lt;&gt;32, ABS(Bilanca!L84-RDG!L49),0)</f>
        <v>0</v>
      </c>
      <c r="O7" s="38">
        <f>IF(AND(Bilanca!K84&lt;&gt;0,Bilanca!K85&lt;&gt;0),2,0)</f>
        <v>0</v>
      </c>
    </row>
    <row r="8" spans="1:24" ht="39.950000000000003" customHeight="1" x14ac:dyDescent="0.2">
      <c r="A8" s="145" t="s">
        <v>2195</v>
      </c>
      <c r="B8" s="146" t="str">
        <f t="shared" si="0"/>
        <v>Ispravno</v>
      </c>
      <c r="C8" s="476" t="s">
        <v>846</v>
      </c>
      <c r="D8" s="477"/>
      <c r="E8" s="477"/>
      <c r="F8" s="477"/>
      <c r="G8" s="477"/>
      <c r="H8" s="477"/>
      <c r="I8" s="477"/>
      <c r="J8" s="478"/>
      <c r="L8" s="38">
        <f>IF(OR(M8&gt;1, N8&gt;1),1,0)</f>
        <v>0</v>
      </c>
      <c r="M8" s="38">
        <f>IF(AND(Opci!C17&lt;&gt;32,Bilanca!K68=0),ABS(Bilanca!K85-RDG!K50),0)</f>
        <v>0</v>
      </c>
      <c r="N8" s="38">
        <f>IF(AND(Opci!C17&lt;&gt;32,Bilanca!L68=0),ABS(Bilanca!L85-RDG!L50),0)</f>
        <v>0</v>
      </c>
      <c r="O8" s="38"/>
    </row>
    <row r="9" spans="1:24" ht="39.950000000000003" customHeight="1" x14ac:dyDescent="0.2">
      <c r="A9" s="145" t="s">
        <v>2196</v>
      </c>
      <c r="B9" s="146" t="str">
        <f t="shared" si="0"/>
        <v>Ispravno</v>
      </c>
      <c r="C9" s="476" t="s">
        <v>130</v>
      </c>
      <c r="D9" s="477"/>
      <c r="E9" s="477"/>
      <c r="F9" s="477"/>
      <c r="G9" s="477"/>
      <c r="H9" s="477"/>
      <c r="I9" s="477"/>
      <c r="J9" s="478"/>
      <c r="L9" s="38">
        <f>IF(OR(M9&gt;1,N9&gt;1,O9&gt;0),1,0)</f>
        <v>0</v>
      </c>
      <c r="M9" s="38">
        <f>IF(Opci!C41="DA",ABS(Bilanca!K72-Bilanca!K117-Bilanca!K118),0)</f>
        <v>0</v>
      </c>
      <c r="N9" s="38">
        <f>IF(Opci!C41="DA",ABS(Bilanca!L72-Bilanca!L117-Bilanca!L118),0)</f>
        <v>0</v>
      </c>
      <c r="O9" s="38">
        <f>IF(Opci!C41&lt;&gt;"DA",ABS(SUM(Bilanca!K117:L118)),0)</f>
        <v>0</v>
      </c>
    </row>
    <row r="10" spans="1:24" ht="40.5" customHeight="1" x14ac:dyDescent="0.2">
      <c r="A10" s="145" t="s">
        <v>2197</v>
      </c>
      <c r="B10" s="146" t="str">
        <f t="shared" si="0"/>
        <v>Ispravno</v>
      </c>
      <c r="C10" s="476" t="s">
        <v>2069</v>
      </c>
      <c r="D10" s="477"/>
      <c r="E10" s="477"/>
      <c r="F10" s="477"/>
      <c r="G10" s="477"/>
      <c r="H10" s="477"/>
      <c r="I10" s="477"/>
      <c r="J10" s="478"/>
      <c r="L10" s="38">
        <f xml:space="preserve"> IF(OR(M10=1,N10=1),1,0)</f>
        <v>0</v>
      </c>
      <c r="M10" s="149">
        <f>IF(AND(Opci!C41&lt;&gt; "DA",(Bilanca!K86+Bilanca!L86)&lt;&gt;0),1,0)</f>
        <v>0</v>
      </c>
      <c r="N10" s="28">
        <f>ABS(Bilanca!K86)+ABS(Bilanca!L86)</f>
        <v>34601000</v>
      </c>
    </row>
    <row r="11" spans="1:24" ht="30" customHeight="1" x14ac:dyDescent="0.2">
      <c r="A11" s="145" t="s">
        <v>2198</v>
      </c>
      <c r="B11" s="146" t="str">
        <f t="shared" si="0"/>
        <v>Ispravno</v>
      </c>
      <c r="C11" s="476" t="s">
        <v>1912</v>
      </c>
      <c r="D11" s="477"/>
      <c r="E11" s="477"/>
      <c r="F11" s="477"/>
      <c r="G11" s="477"/>
      <c r="H11" s="477"/>
      <c r="I11" s="477"/>
      <c r="J11" s="478"/>
      <c r="L11" s="38">
        <f>IF(M11&gt;0,1,0)</f>
        <v>0</v>
      </c>
      <c r="M11" s="149">
        <f>RDG!K14*RDG!K15+RDG!L14*RDG!L15</f>
        <v>0</v>
      </c>
      <c r="N11" s="38"/>
      <c r="O11" s="38"/>
    </row>
    <row r="12" spans="1:24" ht="30" customHeight="1" x14ac:dyDescent="0.2">
      <c r="A12" s="145" t="s">
        <v>2199</v>
      </c>
      <c r="B12" s="146" t="str">
        <f t="shared" si="0"/>
        <v>Ispravno</v>
      </c>
      <c r="C12" s="476" t="s">
        <v>1434</v>
      </c>
      <c r="D12" s="477"/>
      <c r="E12" s="477"/>
      <c r="F12" s="477"/>
      <c r="G12" s="477"/>
      <c r="H12" s="477"/>
      <c r="I12" s="477"/>
      <c r="J12" s="478"/>
      <c r="L12" s="38">
        <f t="shared" ref="L12:L26" si="1">IF(M12*N12&gt;0,1,0)</f>
        <v>0</v>
      </c>
      <c r="M12" s="150">
        <f>IF(PodDop!O$1&gt;0,1,0)</f>
        <v>0</v>
      </c>
      <c r="N12" s="38">
        <f>IF(OR(Bilanca!K13&gt;PodDop!K10,Bilanca!L13&gt;PodDop!L10),1,0)</f>
        <v>0</v>
      </c>
      <c r="O12" s="151"/>
      <c r="P12" s="35"/>
    </row>
    <row r="13" spans="1:24" ht="30" customHeight="1" x14ac:dyDescent="0.2">
      <c r="A13" s="145" t="s">
        <v>2200</v>
      </c>
      <c r="B13" s="146" t="str">
        <f t="shared" si="0"/>
        <v>Ispravno</v>
      </c>
      <c r="C13" s="476" t="s">
        <v>1435</v>
      </c>
      <c r="D13" s="477"/>
      <c r="E13" s="477"/>
      <c r="F13" s="477"/>
      <c r="G13" s="477"/>
      <c r="H13" s="477"/>
      <c r="I13" s="477"/>
      <c r="J13" s="478"/>
      <c r="L13" s="38">
        <f t="shared" si="1"/>
        <v>0</v>
      </c>
      <c r="M13" s="150">
        <f>IF(PodDop!O$1&gt;0,1,0)</f>
        <v>0</v>
      </c>
      <c r="N13" s="38">
        <f>IF(OR(Bilanca!K14&gt;PodDop!K11,Bilanca!L14&gt;PodDop!L11),1,0)</f>
        <v>1</v>
      </c>
      <c r="O13" s="151"/>
      <c r="P13" s="35"/>
    </row>
    <row r="14" spans="1:24" ht="30" customHeight="1" x14ac:dyDescent="0.2">
      <c r="A14" s="145" t="s">
        <v>2201</v>
      </c>
      <c r="B14" s="146" t="str">
        <f t="shared" si="0"/>
        <v>Ispravno</v>
      </c>
      <c r="C14" s="476" t="s">
        <v>1436</v>
      </c>
      <c r="D14" s="477"/>
      <c r="E14" s="477"/>
      <c r="F14" s="477"/>
      <c r="G14" s="477"/>
      <c r="H14" s="477"/>
      <c r="I14" s="477"/>
      <c r="J14" s="478"/>
      <c r="L14" s="38">
        <f t="shared" si="1"/>
        <v>0</v>
      </c>
      <c r="M14" s="150">
        <f>IF(PodDop!O$1&gt;0,1,0)</f>
        <v>0</v>
      </c>
      <c r="N14" s="38">
        <f>IF(OR(Bilanca!K15&gt;PodDop!K12,Bilanca!L15&gt;PodDop!L12),1,0)</f>
        <v>1</v>
      </c>
      <c r="O14" s="151"/>
      <c r="P14" s="35"/>
    </row>
    <row r="15" spans="1:24" ht="30" customHeight="1" x14ac:dyDescent="0.2">
      <c r="A15" s="145" t="s">
        <v>2202</v>
      </c>
      <c r="B15" s="146" t="str">
        <f t="shared" si="0"/>
        <v>Ispravno</v>
      </c>
      <c r="C15" s="476" t="s">
        <v>1437</v>
      </c>
      <c r="D15" s="477"/>
      <c r="E15" s="477"/>
      <c r="F15" s="477"/>
      <c r="G15" s="477"/>
      <c r="H15" s="477"/>
      <c r="I15" s="477"/>
      <c r="J15" s="478"/>
      <c r="L15" s="38">
        <f t="shared" si="1"/>
        <v>0</v>
      </c>
      <c r="M15" s="150">
        <f>IF(PodDop!O$1&gt;0,1,0)</f>
        <v>0</v>
      </c>
      <c r="N15" s="38">
        <f>IF(OR(Bilanca!K16&gt;PodDop!K13,Bilanca!L16&gt;PodDop!L13),1,0)</f>
        <v>0</v>
      </c>
      <c r="O15" s="151"/>
      <c r="P15" s="35"/>
    </row>
    <row r="16" spans="1:24" ht="30" customHeight="1" x14ac:dyDescent="0.2">
      <c r="A16" s="145" t="s">
        <v>2203</v>
      </c>
      <c r="B16" s="146" t="str">
        <f t="shared" si="0"/>
        <v>Ispravno</v>
      </c>
      <c r="C16" s="476" t="s">
        <v>2179</v>
      </c>
      <c r="D16" s="477"/>
      <c r="E16" s="477"/>
      <c r="F16" s="477"/>
      <c r="G16" s="477"/>
      <c r="H16" s="477"/>
      <c r="I16" s="477"/>
      <c r="J16" s="478"/>
      <c r="L16" s="38">
        <f t="shared" si="1"/>
        <v>0</v>
      </c>
      <c r="M16" s="150">
        <f>IF(PodDop!O$1&gt;0,1,0)</f>
        <v>0</v>
      </c>
      <c r="N16" s="38">
        <f>IF(OR(Bilanca!K17&gt;PodDop!K14,Bilanca!L17&gt;PodDop!L14),1,0)</f>
        <v>1</v>
      </c>
      <c r="O16" s="151"/>
      <c r="P16" s="35"/>
    </row>
    <row r="17" spans="1:36" ht="30" customHeight="1" x14ac:dyDescent="0.2">
      <c r="A17" s="145" t="s">
        <v>2204</v>
      </c>
      <c r="B17" s="146" t="str">
        <f t="shared" si="0"/>
        <v>Ispravno</v>
      </c>
      <c r="C17" s="476" t="s">
        <v>146</v>
      </c>
      <c r="D17" s="477"/>
      <c r="E17" s="477"/>
      <c r="F17" s="477"/>
      <c r="G17" s="477"/>
      <c r="H17" s="477"/>
      <c r="I17" s="477"/>
      <c r="J17" s="478"/>
      <c r="L17" s="38">
        <f t="shared" si="1"/>
        <v>0</v>
      </c>
      <c r="M17" s="150">
        <f>IF(PodDop!O$1&gt;0,1,0)</f>
        <v>0</v>
      </c>
      <c r="N17" s="38">
        <f>IF(OR(Bilanca!K18&gt;PodDop!K15,Bilanca!L18&gt;PodDop!L15),1,0)</f>
        <v>0</v>
      </c>
      <c r="O17" s="151"/>
      <c r="P17" s="35"/>
    </row>
    <row r="18" spans="1:36" ht="30" customHeight="1" x14ac:dyDescent="0.2">
      <c r="A18" s="145" t="s">
        <v>2205</v>
      </c>
      <c r="B18" s="146" t="str">
        <f t="shared" si="0"/>
        <v>Ispravno</v>
      </c>
      <c r="C18" s="476" t="s">
        <v>1012</v>
      </c>
      <c r="D18" s="477"/>
      <c r="E18" s="477"/>
      <c r="F18" s="477"/>
      <c r="G18" s="477"/>
      <c r="H18" s="477"/>
      <c r="I18" s="477"/>
      <c r="J18" s="478"/>
      <c r="L18" s="38">
        <f t="shared" si="1"/>
        <v>0</v>
      </c>
      <c r="M18" s="150">
        <f>IF(PodDop!O$1&gt;0,1,0)</f>
        <v>0</v>
      </c>
      <c r="N18" s="38">
        <f>IF(OR(Bilanca!K20&gt;PodDop!K16,Bilanca!L20&gt;PodDop!L16),1,0)</f>
        <v>1</v>
      </c>
      <c r="O18" s="151"/>
      <c r="P18" s="35"/>
    </row>
    <row r="19" spans="1:36" ht="30" customHeight="1" x14ac:dyDescent="0.2">
      <c r="A19" s="145" t="s">
        <v>2206</v>
      </c>
      <c r="B19" s="146" t="str">
        <f t="shared" si="0"/>
        <v>Ispravno</v>
      </c>
      <c r="C19" s="476" t="s">
        <v>740</v>
      </c>
      <c r="D19" s="477"/>
      <c r="E19" s="477"/>
      <c r="F19" s="477"/>
      <c r="G19" s="477"/>
      <c r="H19" s="477"/>
      <c r="I19" s="477"/>
      <c r="J19" s="478"/>
      <c r="L19" s="38">
        <f t="shared" si="1"/>
        <v>0</v>
      </c>
      <c r="M19" s="150">
        <f>IF(PodDop!O$1&gt;0,1,0)</f>
        <v>0</v>
      </c>
      <c r="N19" s="38">
        <f>IF(OR(Bilanca!K21&gt;PodDop!K17,Bilanca!L21&gt;PodDop!L17),1,0)</f>
        <v>1</v>
      </c>
      <c r="O19" s="151"/>
      <c r="P19" s="35"/>
    </row>
    <row r="20" spans="1:36" ht="30" customHeight="1" x14ac:dyDescent="0.2">
      <c r="A20" s="145" t="s">
        <v>2207</v>
      </c>
      <c r="B20" s="146" t="str">
        <f t="shared" si="0"/>
        <v>Ispravno</v>
      </c>
      <c r="C20" s="476" t="s">
        <v>741</v>
      </c>
      <c r="D20" s="477"/>
      <c r="E20" s="477"/>
      <c r="F20" s="477"/>
      <c r="G20" s="477"/>
      <c r="H20" s="477"/>
      <c r="I20" s="477"/>
      <c r="J20" s="478"/>
      <c r="L20" s="38">
        <f t="shared" si="1"/>
        <v>0</v>
      </c>
      <c r="M20" s="150">
        <f>IF(PodDop!O$1&gt;0,1,0)</f>
        <v>0</v>
      </c>
      <c r="N20" s="38">
        <f>IF(OR(Bilanca!K22&gt;PodDop!K18,Bilanca!L22&gt;PodDop!L18),1,0)</f>
        <v>1</v>
      </c>
      <c r="O20" s="151"/>
      <c r="P20" s="35"/>
    </row>
    <row r="21" spans="1:36" ht="30" customHeight="1" x14ac:dyDescent="0.2">
      <c r="A21" s="145" t="s">
        <v>2208</v>
      </c>
      <c r="B21" s="146" t="str">
        <f t="shared" si="0"/>
        <v>Ispravno</v>
      </c>
      <c r="C21" s="476" t="s">
        <v>742</v>
      </c>
      <c r="D21" s="477"/>
      <c r="E21" s="477"/>
      <c r="F21" s="477"/>
      <c r="G21" s="477"/>
      <c r="H21" s="477"/>
      <c r="I21" s="477"/>
      <c r="J21" s="478"/>
      <c r="L21" s="38">
        <f t="shared" si="1"/>
        <v>0</v>
      </c>
      <c r="M21" s="150">
        <f>IF(PodDop!O$1&gt;0,1,0)</f>
        <v>0</v>
      </c>
      <c r="N21" s="38">
        <f>IF(OR(Bilanca!K23&gt;PodDop!K19,Bilanca!L23&gt;PodDop!L19),1,0)</f>
        <v>1</v>
      </c>
      <c r="O21" s="151"/>
      <c r="P21" s="35"/>
    </row>
    <row r="22" spans="1:36" ht="30" customHeight="1" x14ac:dyDescent="0.2">
      <c r="A22" s="145" t="s">
        <v>2209</v>
      </c>
      <c r="B22" s="146" t="str">
        <f t="shared" si="0"/>
        <v>Ispravno</v>
      </c>
      <c r="C22" s="476" t="s">
        <v>1923</v>
      </c>
      <c r="D22" s="477"/>
      <c r="E22" s="477"/>
      <c r="F22" s="477"/>
      <c r="G22" s="477"/>
      <c r="H22" s="477"/>
      <c r="I22" s="477"/>
      <c r="J22" s="478"/>
      <c r="L22" s="38">
        <f t="shared" si="1"/>
        <v>0</v>
      </c>
      <c r="M22" s="150">
        <f>IF(PodDop!O$1&gt;0,1,0)</f>
        <v>0</v>
      </c>
      <c r="N22" s="38">
        <f>IF(OR(Bilanca!K24&gt;PodDop!K20,Bilanca!L24&gt;PodDop!L20),1,0)</f>
        <v>0</v>
      </c>
      <c r="O22" s="151"/>
      <c r="P22" s="35"/>
    </row>
    <row r="23" spans="1:36" ht="30" customHeight="1" x14ac:dyDescent="0.2">
      <c r="A23" s="145" t="s">
        <v>2210</v>
      </c>
      <c r="B23" s="146" t="str">
        <f t="shared" si="0"/>
        <v>Ispravno</v>
      </c>
      <c r="C23" s="476" t="s">
        <v>1924</v>
      </c>
      <c r="D23" s="477"/>
      <c r="E23" s="477"/>
      <c r="F23" s="477"/>
      <c r="G23" s="477"/>
      <c r="H23" s="477"/>
      <c r="I23" s="477"/>
      <c r="J23" s="478"/>
      <c r="L23" s="38">
        <f t="shared" si="1"/>
        <v>0</v>
      </c>
      <c r="M23" s="150">
        <f>IF(PodDop!O$1&gt;0,1,0)</f>
        <v>0</v>
      </c>
      <c r="N23" s="38">
        <f>IF(OR(Bilanca!K25&gt;PodDop!K21,Bilanca!L25&gt;PodDop!L21),1,0)</f>
        <v>1</v>
      </c>
      <c r="O23" s="151"/>
      <c r="P23" s="35"/>
    </row>
    <row r="24" spans="1:36" ht="30" customHeight="1" x14ac:dyDescent="0.2">
      <c r="A24" s="145" t="s">
        <v>2211</v>
      </c>
      <c r="B24" s="146" t="str">
        <f t="shared" si="0"/>
        <v>Ispravno</v>
      </c>
      <c r="C24" s="476" t="s">
        <v>1925</v>
      </c>
      <c r="D24" s="477"/>
      <c r="E24" s="477"/>
      <c r="F24" s="477"/>
      <c r="G24" s="477"/>
      <c r="H24" s="477"/>
      <c r="I24" s="477"/>
      <c r="J24" s="478"/>
      <c r="L24" s="38">
        <f t="shared" si="1"/>
        <v>0</v>
      </c>
      <c r="M24" s="150">
        <f>IF(PodDop!O$1&gt;0,1,0)</f>
        <v>0</v>
      </c>
      <c r="N24" s="38">
        <f>IF(OR(Bilanca!K26&gt;PodDop!K22,Bilanca!L26&gt;PodDop!L22),1,0)</f>
        <v>1</v>
      </c>
      <c r="O24" s="151"/>
      <c r="P24" s="35"/>
    </row>
    <row r="25" spans="1:36" ht="30" customHeight="1" x14ac:dyDescent="0.2">
      <c r="A25" s="145" t="s">
        <v>2212</v>
      </c>
      <c r="B25" s="146" t="str">
        <f t="shared" si="0"/>
        <v>Ispravno</v>
      </c>
      <c r="C25" s="476" t="s">
        <v>1875</v>
      </c>
      <c r="D25" s="477"/>
      <c r="E25" s="477"/>
      <c r="F25" s="477"/>
      <c r="G25" s="477"/>
      <c r="H25" s="477"/>
      <c r="I25" s="477"/>
      <c r="J25" s="478"/>
      <c r="L25" s="38">
        <f t="shared" si="1"/>
        <v>0</v>
      </c>
      <c r="M25" s="150">
        <f>IF(PodDop!O$1&gt;0,1,0)</f>
        <v>0</v>
      </c>
      <c r="N25" s="38">
        <f>IF(OR(Bilanca!K27&gt;PodDop!K23,Bilanca!L27&gt;PodDop!L23),1,0)</f>
        <v>1</v>
      </c>
      <c r="O25" s="151"/>
      <c r="P25" s="35"/>
    </row>
    <row r="26" spans="1:36" ht="30" customHeight="1" x14ac:dyDescent="0.2">
      <c r="A26" s="145" t="s">
        <v>2213</v>
      </c>
      <c r="B26" s="146" t="str">
        <f t="shared" si="0"/>
        <v>Ispravno</v>
      </c>
      <c r="C26" s="476" t="s">
        <v>2464</v>
      </c>
      <c r="D26" s="477"/>
      <c r="E26" s="477"/>
      <c r="F26" s="477"/>
      <c r="G26" s="477"/>
      <c r="H26" s="477"/>
      <c r="I26" s="477"/>
      <c r="J26" s="478"/>
      <c r="L26" s="38">
        <f t="shared" si="1"/>
        <v>0</v>
      </c>
      <c r="M26" s="150">
        <f>IF(PodDop!O$1&gt;0,1,0)</f>
        <v>0</v>
      </c>
      <c r="N26" s="38">
        <f>IF(OR(Bilanca!K28&gt;PodDop!K24,Bilanca!L28&gt;PodDop!L24),1,0)</f>
        <v>0</v>
      </c>
      <c r="O26" s="151"/>
      <c r="P26" s="35"/>
    </row>
    <row r="27" spans="1:36" ht="30" customHeight="1" x14ac:dyDescent="0.2">
      <c r="A27" s="145" t="s">
        <v>2214</v>
      </c>
      <c r="B27" s="146" t="str">
        <f>IF(L27=0,"Ispravno", "Nije ispravno")</f>
        <v>Ispravno</v>
      </c>
      <c r="C27" s="476" t="s">
        <v>145</v>
      </c>
      <c r="D27" s="477"/>
      <c r="E27" s="477"/>
      <c r="F27" s="477"/>
      <c r="G27" s="477"/>
      <c r="H27" s="477"/>
      <c r="I27" s="477"/>
      <c r="J27" s="478"/>
      <c r="L27" s="38">
        <f>IF(M27*(N27+O27)&gt;0,1,0)</f>
        <v>0</v>
      </c>
      <c r="M27" s="150">
        <f>IF(PodDop!O$1&gt;0,1,0)</f>
        <v>0</v>
      </c>
      <c r="N27" s="38">
        <f>IF(ABS(RDG!K10-PodDop!K91-PodDop!K92)&gt;1,1,0)</f>
        <v>1</v>
      </c>
      <c r="O27" s="38">
        <f>IF(ABS(RDG!L10-PodDop!L91-PodDop!L92)&gt;1,1,0)</f>
        <v>1</v>
      </c>
      <c r="P27" s="35"/>
    </row>
    <row r="28" spans="1:36" ht="36.75" customHeight="1" x14ac:dyDescent="0.2">
      <c r="A28" s="145" t="s">
        <v>2215</v>
      </c>
      <c r="B28" s="146" t="str">
        <f t="shared" si="0"/>
        <v>Ispravno</v>
      </c>
      <c r="C28" s="476" t="s">
        <v>607</v>
      </c>
      <c r="D28" s="477"/>
      <c r="E28" s="477"/>
      <c r="F28" s="477"/>
      <c r="G28" s="477"/>
      <c r="H28" s="477"/>
      <c r="I28" s="477"/>
      <c r="J28" s="478"/>
      <c r="L28" s="38">
        <f>IF(M28+N28&gt;0,1,0)</f>
        <v>0</v>
      </c>
      <c r="M28" s="38">
        <f>IF(OR(PodDop!K27&lt;PodDop!K28,PodDop!K29&lt;PodDop!K30,PodDop!K31&lt;PodDop!K32,PodDop!K33&lt;PodDop!K34,PodDop!K35&lt;PodDop!K36,PodDop!K37&lt;PodDop!K38,PodDop!K39&lt;PodDop!K40,PodDop!K41&lt;PodDop!K42,PodDop!K43&lt;PodDop!K44),1,0)</f>
        <v>0</v>
      </c>
      <c r="N28" s="38">
        <f>IF(OR(PodDop!L27&lt;PodDop!L28,PodDop!L29&lt;PodDop!L30,PodDop!L31&lt;PodDop!L32,PodDop!L33&lt;PodDop!L34,PodDop!L35&lt;PodDop!L36,PodDop!L37&lt;PodDop!L38,PodDop!L39&lt;PodDop!L40,PodDop!L41&lt;PodDop!L42,PodDop!L43&lt;PodDop!L44),1,0)</f>
        <v>0</v>
      </c>
      <c r="O28" s="38"/>
    </row>
    <row r="29" spans="1:36" ht="42.75" customHeight="1" x14ac:dyDescent="0.2">
      <c r="A29" s="145" t="s">
        <v>2216</v>
      </c>
      <c r="B29" s="146" t="str">
        <f>IF(L29=0,"Ispravno", "Nije ispravno")</f>
        <v>Ispravno</v>
      </c>
      <c r="C29" s="476" t="s">
        <v>851</v>
      </c>
      <c r="D29" s="477"/>
      <c r="E29" s="477"/>
      <c r="F29" s="477"/>
      <c r="G29" s="477"/>
      <c r="H29" s="477"/>
      <c r="I29" s="477"/>
      <c r="J29" s="478"/>
      <c r="L29" s="38">
        <f>IF(M29&lt;0,1,0)</f>
        <v>0</v>
      </c>
      <c r="M29" s="152">
        <f>MIN(Skriveni!J2:K71,Skriveni!J73:K146, Skriveni!J148:K153)</f>
        <v>0</v>
      </c>
      <c r="N29" s="38"/>
      <c r="O29" s="38"/>
    </row>
    <row r="30" spans="1:36" ht="30" customHeight="1" x14ac:dyDescent="0.2">
      <c r="A30" s="145" t="s">
        <v>2217</v>
      </c>
      <c r="B30" s="146" t="str">
        <f t="shared" si="0"/>
        <v>Ispravno</v>
      </c>
      <c r="C30" s="496" t="str">
        <f>"Kriteriji veličine dani su na radnom listu Sifre. Ako izračunata veličina nije jednaka upisanoj ili oznaka veličine nije upisana u opće podatke ova kontrola je neispravna. Prema upisanim podacima, izračunata veličina je " &amp; M30 &amp; IF(Opci!C47="",", a u opće podatke veličina nije ni upisana",", a upisana veličina je "&amp;Opci!C47)</f>
        <v>Kriteriji veličine dani su na radnom listu Sifre. Ako izračunata veličina nije jednaka upisanoj ili oznaka veličine nije upisana u opće podatke ova kontrola je neispravna. Prema upisanim podacima, izračunata veličina je 3, a upisana veličina je 3</v>
      </c>
      <c r="D30" s="497"/>
      <c r="E30" s="497"/>
      <c r="F30" s="497"/>
      <c r="G30" s="497"/>
      <c r="H30" s="497"/>
      <c r="I30" s="497"/>
      <c r="J30" s="498"/>
      <c r="L30" s="38">
        <f>IF(Opci!C47=M30,0,1)</f>
        <v>0</v>
      </c>
      <c r="M30" s="153">
        <f>1+N30+O30</f>
        <v>3</v>
      </c>
      <c r="N30" s="154">
        <f>IF(Q30+R30+S30&gt;1,1,0)</f>
        <v>1</v>
      </c>
      <c r="O30" s="155">
        <f>IF(U30+V30+W30&gt;1,1,0)</f>
        <v>1</v>
      </c>
      <c r="P30" s="40" t="s">
        <v>803</v>
      </c>
      <c r="Q30" s="41">
        <f>IF(Bilanca!K69-Bilanca!K68&gt;32500000,1,0)</f>
        <v>1</v>
      </c>
      <c r="R30" s="41">
        <f>IF(RDG!K44&gt;65000000,1,0)</f>
        <v>1</v>
      </c>
      <c r="S30" s="42">
        <f>IF(Opci!C53&gt;50,1,0)</f>
        <v>1</v>
      </c>
      <c r="T30" s="43" t="s">
        <v>804</v>
      </c>
      <c r="U30" s="44">
        <f>IF(Bilanca!K69-Bilanca!K68&gt;130000000,1,0)</f>
        <v>1</v>
      </c>
      <c r="V30" s="44">
        <f>IF(RDG!K44&gt;260000000,1,0)</f>
        <v>1</v>
      </c>
      <c r="W30" s="45">
        <f>IF(Opci!C53&gt;250,1,0)</f>
        <v>1</v>
      </c>
    </row>
    <row r="31" spans="1:36" ht="20.100000000000001" customHeight="1" x14ac:dyDescent="0.2">
      <c r="A31" s="489" t="s">
        <v>2622</v>
      </c>
      <c r="B31" s="490"/>
      <c r="C31" s="490"/>
      <c r="D31" s="490"/>
      <c r="E31" s="490"/>
      <c r="F31" s="490"/>
      <c r="G31" s="490"/>
      <c r="H31" s="490"/>
      <c r="I31" s="490"/>
      <c r="J31" s="491"/>
      <c r="L31" s="38"/>
      <c r="M31" s="38" t="s">
        <v>1895</v>
      </c>
      <c r="N31" s="38" t="s">
        <v>1894</v>
      </c>
      <c r="O31" s="38" t="s">
        <v>1896</v>
      </c>
      <c r="P31" t="s">
        <v>1897</v>
      </c>
      <c r="Q31" t="s">
        <v>73</v>
      </c>
      <c r="R31" t="s">
        <v>1762</v>
      </c>
      <c r="S31" t="s">
        <v>1898</v>
      </c>
      <c r="T31" t="s">
        <v>1899</v>
      </c>
      <c r="U31" t="s">
        <v>153</v>
      </c>
      <c r="V31" t="s">
        <v>1900</v>
      </c>
      <c r="W31" t="s">
        <v>1901</v>
      </c>
      <c r="X31" t="s">
        <v>1902</v>
      </c>
      <c r="Y31" t="s">
        <v>1903</v>
      </c>
      <c r="Z31" t="s">
        <v>1904</v>
      </c>
      <c r="AA31" t="s">
        <v>1906</v>
      </c>
      <c r="AB31" t="s">
        <v>1907</v>
      </c>
      <c r="AC31" t="s">
        <v>1814</v>
      </c>
      <c r="AD31" t="s">
        <v>2410</v>
      </c>
      <c r="AE31" t="s">
        <v>2411</v>
      </c>
      <c r="AF31" t="s">
        <v>2413</v>
      </c>
      <c r="AG31" t="s">
        <v>2412</v>
      </c>
      <c r="AH31" t="s">
        <v>2414</v>
      </c>
      <c r="AI31" t="s">
        <v>2415</v>
      </c>
      <c r="AJ31" t="s">
        <v>2416</v>
      </c>
    </row>
    <row r="32" spans="1:36" ht="96.75" customHeight="1" x14ac:dyDescent="0.2">
      <c r="A32" s="145" t="s">
        <v>1509</v>
      </c>
      <c r="B32" s="146" t="str">
        <f t="shared" ref="B32:B48" si="2">IF(L32=0,"Ispravno", "Nije ispravno")</f>
        <v>Ispravno</v>
      </c>
      <c r="C32" s="473" t="s">
        <v>2058</v>
      </c>
      <c r="D32" s="474"/>
      <c r="E32" s="474"/>
      <c r="F32" s="474"/>
      <c r="G32" s="474"/>
      <c r="H32" s="474"/>
      <c r="I32" s="474"/>
      <c r="J32" s="475"/>
      <c r="L32" s="38">
        <f>IF(SUM(M32:AJ32)&gt;0,1,0)</f>
        <v>0</v>
      </c>
      <c r="M32" s="38" t="str">
        <f>IF(Opci!E5="",1,"0")</f>
        <v>0</v>
      </c>
      <c r="N32" s="38" t="str">
        <f>IF(Opci!H5="",1,"0")</f>
        <v>0</v>
      </c>
      <c r="O32" s="38" t="str">
        <f>IF(Opci!C17="",1,"0")</f>
        <v>0</v>
      </c>
      <c r="P32" t="str">
        <f>IF(Opci!C19="",1,"0")</f>
        <v>0</v>
      </c>
      <c r="Q32" t="str">
        <f>IF(AND(Opci!C21="",Opci!C45&gt;1),1,"0")</f>
        <v>0</v>
      </c>
      <c r="R32" t="str">
        <f>IF(Opci!C23="",0,"0")</f>
        <v>0</v>
      </c>
      <c r="S32" t="str">
        <f>IF(Opci!C25="",1,"0")</f>
        <v>0</v>
      </c>
      <c r="T32" t="str">
        <f>IF(Opci!C27="",1,"0")</f>
        <v>0</v>
      </c>
      <c r="U32" t="str">
        <f>IF(Opci!F27="",1,"0")</f>
        <v>0</v>
      </c>
      <c r="V32" t="str">
        <f>IF(Opci!C29="",1,"0")</f>
        <v>0</v>
      </c>
      <c r="W32" t="str">
        <f>IF(Opci!C35="",1,"0")</f>
        <v>0</v>
      </c>
      <c r="X32" t="str">
        <f>IF(Opci!C37="",1,"0")</f>
        <v>0</v>
      </c>
      <c r="Y32" t="str">
        <f>IF(Opci!C39="",1,"0")</f>
        <v>0</v>
      </c>
      <c r="Z32" t="str">
        <f>IF(Opci!C41="",1,"0")</f>
        <v>0</v>
      </c>
      <c r="AA32" t="str">
        <f>IF(Opci!C43="",1,"0")</f>
        <v>0</v>
      </c>
      <c r="AB32" t="str">
        <f>IF(Opci!C45="",1,"0")</f>
        <v>0</v>
      </c>
      <c r="AC32">
        <f>IF(Opci!E9="",1,0)</f>
        <v>0</v>
      </c>
      <c r="AD32" t="str">
        <f>IF(Opci!C47="",1,"0")</f>
        <v>0</v>
      </c>
      <c r="AE32" t="str">
        <f>IF(Opci!C49="",1,"0")</f>
        <v>0</v>
      </c>
      <c r="AF32">
        <f>IF(Opci!C51+Opci!E51&lt;&gt;100,1,0)</f>
        <v>0</v>
      </c>
      <c r="AG32">
        <f>IF(OR(Opci!C53="",Opci!E53="",Opci!C55="",Opci!E55=""),1,0)</f>
        <v>0</v>
      </c>
      <c r="AH32">
        <f>IF(OR(Opci!C57="",Opci!E57=""),1,0)</f>
        <v>0</v>
      </c>
      <c r="AI32">
        <f>IF(Opci!C65="",1,0)</f>
        <v>0</v>
      </c>
      <c r="AJ32">
        <f>IF(Opci!C71="",1,0)</f>
        <v>0</v>
      </c>
    </row>
    <row r="33" spans="1:62" ht="64.5" customHeight="1" x14ac:dyDescent="0.2">
      <c r="A33" s="145" t="s">
        <v>2218</v>
      </c>
      <c r="B33" s="146" t="str">
        <f>IF(L33=0,"Ispravno", "Nije ispravno")</f>
        <v>Ispravno</v>
      </c>
      <c r="C33" s="479" t="s">
        <v>589</v>
      </c>
      <c r="D33" s="480"/>
      <c r="E33" s="480"/>
      <c r="F33" s="480"/>
      <c r="G33" s="480"/>
      <c r="H33" s="480"/>
      <c r="I33" s="480"/>
      <c r="J33" s="481"/>
      <c r="L33" s="38">
        <f>IF(SUM(M33:O33)&gt;0,1,0)</f>
        <v>0</v>
      </c>
      <c r="M33" s="38">
        <f>IF(Opci!C19=Opci!C63,1,0)</f>
        <v>0</v>
      </c>
      <c r="N33" s="38">
        <f>IF(AND(Opci!C63="",Opci!F63&lt;&gt;""),1,0)</f>
        <v>0</v>
      </c>
      <c r="O33">
        <f>IF(AND(Opci!C63&lt;&gt;"",Opci!F63=""),1,0)</f>
        <v>0</v>
      </c>
      <c r="Q33" t="s">
        <v>2046</v>
      </c>
      <c r="S33" t="s">
        <v>2047</v>
      </c>
      <c r="U33" s="228" t="s">
        <v>2048</v>
      </c>
      <c r="W33" s="228" t="s">
        <v>2049</v>
      </c>
      <c r="Y33" s="228" t="s">
        <v>2050</v>
      </c>
      <c r="AA33" s="228" t="s">
        <v>2051</v>
      </c>
      <c r="AC33" s="228" t="s">
        <v>2052</v>
      </c>
      <c r="AE33" s="228" t="s">
        <v>2053</v>
      </c>
      <c r="AG33" s="228" t="s">
        <v>2054</v>
      </c>
      <c r="AI33" s="228" t="s">
        <v>2055</v>
      </c>
      <c r="AK33" s="228" t="s">
        <v>2056</v>
      </c>
      <c r="AM33" s="228" t="s">
        <v>2057</v>
      </c>
      <c r="AO33" s="228" t="s">
        <v>2060</v>
      </c>
      <c r="AQ33" s="228" t="s">
        <v>2061</v>
      </c>
      <c r="AS33" s="228" t="s">
        <v>2062</v>
      </c>
      <c r="AU33" s="228" t="s">
        <v>2063</v>
      </c>
      <c r="AW33" s="228" t="s">
        <v>2064</v>
      </c>
      <c r="AY33" s="228" t="s">
        <v>2065</v>
      </c>
      <c r="BA33" s="228" t="s">
        <v>2066</v>
      </c>
      <c r="BC33" s="228" t="s">
        <v>2067</v>
      </c>
      <c r="BE33" s="228" t="s">
        <v>2068</v>
      </c>
      <c r="BG33" s="230" t="s">
        <v>969</v>
      </c>
      <c r="BI33" s="229" t="s">
        <v>970</v>
      </c>
    </row>
    <row r="34" spans="1:62" ht="74.25" customHeight="1" x14ac:dyDescent="0.2">
      <c r="A34" s="145" t="s">
        <v>140</v>
      </c>
      <c r="B34" s="146" t="str">
        <f>IF(L34=0,"Ispravno", "Nije ispravno")</f>
        <v>Ispravno</v>
      </c>
      <c r="C34" s="479" t="s">
        <v>590</v>
      </c>
      <c r="D34" s="480"/>
      <c r="E34" s="480"/>
      <c r="F34" s="480"/>
      <c r="G34" s="480"/>
      <c r="H34" s="480"/>
      <c r="I34" s="480"/>
      <c r="J34" s="481"/>
      <c r="L34" s="38">
        <f>IF(SUM(O34:BJ34)&gt;0,1,0)</f>
        <v>0</v>
      </c>
      <c r="M34" s="226" t="str">
        <f>UPPER(TRIM(Opci!C31))</f>
        <v>DRAGA.CELISCAK@PODRAVKA.HR</v>
      </c>
      <c r="N34" s="227" t="str">
        <f>UPPER(TRIM(Opci!C69))</f>
        <v>DRAGA.CELISCAK@PODRAVKA.HR</v>
      </c>
      <c r="O34" s="226">
        <f>IF(AND(LEN(M34)&gt;0,LEN(M34)&lt;6),1,0)</f>
        <v>0</v>
      </c>
      <c r="P34" s="227">
        <f>IF(AND(LEN(N34)&gt;0,LEN(N34)&lt;6),1,0)</f>
        <v>0</v>
      </c>
      <c r="Q34" s="226">
        <f>IF(AND(M34&lt;&gt;"",ISERROR(FIND("@",M34,1))),1,0)</f>
        <v>0</v>
      </c>
      <c r="R34" s="227">
        <f>IF(AND(N34&lt;&gt;"",ISERROR(FIND("@",N34,1))),1,0)</f>
        <v>0</v>
      </c>
      <c r="S34" s="226">
        <f>IF(AND(M34&lt;&gt;"",ISERROR(FIND(".",M34,1))),1,0)</f>
        <v>0</v>
      </c>
      <c r="T34" s="227">
        <f>IF(AND(N34&lt;&gt;"",ISERROR(FIND(".",N34,1))),1,0)</f>
        <v>0</v>
      </c>
      <c r="U34" s="226">
        <f>IF(ISERROR(FIND("Č",M34,1)),0,1)</f>
        <v>0</v>
      </c>
      <c r="V34" s="227">
        <f>IF(ISERROR(FIND("Č",N34,1)),0,1)</f>
        <v>0</v>
      </c>
      <c r="W34" s="226">
        <f>IF(ISERROR(FIND("Ć",M34,1)),0,1)</f>
        <v>0</v>
      </c>
      <c r="X34" s="227">
        <f>IF(ISERROR(FIND("Ć",N34,1)),0,1)</f>
        <v>0</v>
      </c>
      <c r="Y34" s="226">
        <f>IF(ISERROR(FIND("Š",M34,1)),0,1)</f>
        <v>0</v>
      </c>
      <c r="Z34" s="227">
        <f>IF(ISERROR(FIND("Š",N34,1)),0,1)</f>
        <v>0</v>
      </c>
      <c r="AA34" s="226">
        <f>IF(ISERROR(FIND("Ž",M34,1)),0,1)</f>
        <v>0</v>
      </c>
      <c r="AB34" s="227">
        <f>IF(ISERROR(FIND("Ž",N34,1)),0,1)</f>
        <v>0</v>
      </c>
      <c r="AC34" s="226">
        <f>IF(ISERROR(FIND("Đ",M34,1)),0,1)</f>
        <v>0</v>
      </c>
      <c r="AD34" s="227">
        <f>IF(ISERROR(FIND("Đ",N34,1)),0,1)</f>
        <v>0</v>
      </c>
      <c r="AE34">
        <f>IF(ISERROR(FIND("""",M34,1)),0,1)</f>
        <v>0</v>
      </c>
      <c r="AF34">
        <f>IF(ISERROR(FIND("""",N34,1)),0,1)</f>
        <v>0</v>
      </c>
      <c r="AG34">
        <f>IF(ISERROR(FIND(",",M34,1)),0,1)</f>
        <v>0</v>
      </c>
      <c r="AH34">
        <f>IF(ISERROR(FIND(",",N34,1)),0,1)</f>
        <v>0</v>
      </c>
      <c r="AI34">
        <f>IF(ISERROR(FIND(";",M34,1)),0,1)</f>
        <v>0</v>
      </c>
      <c r="AJ34">
        <f>IF(ISERROR(FIND(";",N34,1)),0,1)</f>
        <v>0</v>
      </c>
      <c r="AK34">
        <f>IF(ISERROR(FIND(":",$M34,1)),0,1)</f>
        <v>0</v>
      </c>
      <c r="AL34">
        <f>IF(ISERROR(FIND(":",$N34,1)),0,1)</f>
        <v>0</v>
      </c>
      <c r="AM34">
        <f>IF(ISERROR(FIND("?",$M34,1)),0,1)</f>
        <v>0</v>
      </c>
      <c r="AN34">
        <f>IF(ISERROR(FIND("?",$N34,1)),0,1)</f>
        <v>0</v>
      </c>
      <c r="AO34">
        <f>IF(ISERROR(FIND("!",$M34,1)),0,1)</f>
        <v>0</v>
      </c>
      <c r="AP34">
        <f>IF(ISERROR(FIND("!",$N34,1)),0,1)</f>
        <v>0</v>
      </c>
      <c r="AQ34">
        <f>IF(ISERROR(FIND("#",$M34,1)),0,1)</f>
        <v>0</v>
      </c>
      <c r="AR34">
        <f>IF(ISERROR(FIND("#",$N34,1)),0,1)</f>
        <v>0</v>
      </c>
      <c r="AS34">
        <f>IF(ISERROR(FIND("$",$M34,1)),0,1)</f>
        <v>0</v>
      </c>
      <c r="AT34">
        <f>IF(ISERROR(FIND("$",$N34,1)),0,1)</f>
        <v>0</v>
      </c>
      <c r="AU34">
        <f>IF(ISERROR(FIND("%",$M34,1)),0,1)</f>
        <v>0</v>
      </c>
      <c r="AV34">
        <f>IF(ISERROR(FIND("%",$N34,1)),0,1)</f>
        <v>0</v>
      </c>
      <c r="AW34">
        <f>IF(ISERROR(FIND("&amp;",$M34,1)),0,1)</f>
        <v>0</v>
      </c>
      <c r="AX34">
        <f>IF(ISERROR(FIND("&amp;",$N34,1)),0,1)</f>
        <v>0</v>
      </c>
      <c r="AY34">
        <f>IF(ISERROR(FIND("/",$M34,1)),0,1)</f>
        <v>0</v>
      </c>
      <c r="AZ34">
        <f>IF(ISERROR(FIND("/",$N34,1)),0,1)</f>
        <v>0</v>
      </c>
      <c r="BA34">
        <f>IF(ISERROR(FIND("=",$M34,1)),0,1)</f>
        <v>0</v>
      </c>
      <c r="BB34">
        <f>IF(ISERROR(FIND("=",$N34,1)),0,1)</f>
        <v>0</v>
      </c>
      <c r="BC34">
        <f>IF(ISERROR(FIND("(",$M34,1)),0,1)</f>
        <v>0</v>
      </c>
      <c r="BD34">
        <f>IF(ISERROR(FIND("(",$N34,1)),0,1)</f>
        <v>0</v>
      </c>
      <c r="BE34">
        <f>IF(ISERROR(FIND(")",$M34,1)),0,1)</f>
        <v>0</v>
      </c>
      <c r="BF34">
        <f>IF(ISERROR(FIND(")",$N34,1)),0,1)</f>
        <v>0</v>
      </c>
      <c r="BG34">
        <f>IF(ISERROR(FIND(" ",$M34,1)),0,1)</f>
        <v>0</v>
      </c>
      <c r="BH34">
        <f>IF(ISERROR(FIND(" ",$N34,1)),0,1)</f>
        <v>0</v>
      </c>
      <c r="BI34">
        <f>IF(RIGHT(M34,1)=".",1,0)</f>
        <v>0</v>
      </c>
      <c r="BJ34">
        <f>IF(RIGHT(N34,1)=".",1,0)</f>
        <v>0</v>
      </c>
    </row>
    <row r="35" spans="1:62" ht="50.1" customHeight="1" x14ac:dyDescent="0.2">
      <c r="A35" s="145" t="s">
        <v>141</v>
      </c>
      <c r="B35" s="146" t="str">
        <f t="shared" si="2"/>
        <v>Ispravno</v>
      </c>
      <c r="C35" s="479" t="s">
        <v>2070</v>
      </c>
      <c r="D35" s="480"/>
      <c r="E35" s="480"/>
      <c r="F35" s="480"/>
      <c r="G35" s="480"/>
      <c r="H35" s="480"/>
      <c r="I35" s="480"/>
      <c r="J35" s="481"/>
      <c r="L35" s="38">
        <f>IF(SUM(M35:R35)&gt;0,1,0)</f>
        <v>0</v>
      </c>
      <c r="M35" s="38">
        <f>IF(AND(Opci!C17=32,RDG!O1&gt;0),1,0)</f>
        <v>0</v>
      </c>
      <c r="N35" s="38">
        <f>IF(AND(Opci!C17&lt;&gt;32,RDG!O1*Bilanca!O1=0),1,0)</f>
        <v>0</v>
      </c>
      <c r="O35" s="38">
        <f>IF(AND(Opci!C17&lt;&gt;32,Bilanca!P1&lt;&gt;0,RDG!P1=0),1,0)</f>
        <v>0</v>
      </c>
      <c r="P35">
        <f>IF(AND(Opci!C17&lt;&gt;32,Bilanca!P1=0,RDG!P1&lt;&gt;0),1,0)</f>
        <v>0</v>
      </c>
      <c r="Q35">
        <f>IF(AND(Opci!C17&lt;&gt;32,Bilanca!P2&lt;&gt;0,RDG!P2=0),1,0)</f>
        <v>0</v>
      </c>
      <c r="R35">
        <f>IF(AND(Opci!C17&lt;&gt;32,Bilanca!P2=0,RDG!P2&lt;&gt;0),1,0)</f>
        <v>0</v>
      </c>
    </row>
    <row r="36" spans="1:62" ht="60" customHeight="1" x14ac:dyDescent="0.2">
      <c r="A36" s="145" t="s">
        <v>142</v>
      </c>
      <c r="B36" s="146" t="str">
        <f t="shared" si="2"/>
        <v>Ispravno</v>
      </c>
      <c r="C36" s="476" t="s">
        <v>795</v>
      </c>
      <c r="D36" s="480"/>
      <c r="E36" s="480"/>
      <c r="F36" s="480"/>
      <c r="G36" s="480"/>
      <c r="H36" s="480"/>
      <c r="I36" s="480"/>
      <c r="J36" s="481"/>
      <c r="L36" s="38">
        <f>IF(SUM(M36:S36)&gt;0,1,0)</f>
        <v>0</v>
      </c>
      <c r="M36" s="38">
        <f>IF(AND(Opci!C45&lt;&gt;2,PodDop!O1=0),1,0)</f>
        <v>0</v>
      </c>
      <c r="N36" s="38">
        <f>IF(AND(Opci!C45=2,PodDop!O1&gt;0),1,0)</f>
        <v>0</v>
      </c>
      <c r="O36" s="38">
        <f>IF(AND(Opci!C45&lt;&gt;2,Opci!C17&lt;&gt;10,Opci!C17&lt;&gt;11,Opci!C17&lt;&gt;20,Opci!C17&lt;&gt;30),1,0)</f>
        <v>0</v>
      </c>
      <c r="P36">
        <f>IF(AND(PodDop!P1&lt;&gt;0,Bilanca!P1=0),1,0)</f>
        <v>0</v>
      </c>
      <c r="Q36">
        <f>IF(AND(PodDop!P1=0,PodDop!O1&lt;&gt;0,Bilanca!P1&lt;&gt;0),1,0)</f>
        <v>0</v>
      </c>
      <c r="R36">
        <f>IF(AND(PodDop!P2&lt;&gt;0,Bilanca!P2=0),1,0)</f>
        <v>0</v>
      </c>
      <c r="S36">
        <f>IF(AND(PodDop!P2=0,PodDop!O1&lt;&gt;0,Bilanca!P2&lt;&gt;0),1,0)</f>
        <v>0</v>
      </c>
    </row>
    <row r="37" spans="1:62" ht="39.950000000000003" customHeight="1" x14ac:dyDescent="0.2">
      <c r="A37" s="145" t="s">
        <v>143</v>
      </c>
      <c r="B37" s="146" t="str">
        <f t="shared" si="2"/>
        <v>Nije ispravno</v>
      </c>
      <c r="C37" s="479" t="s">
        <v>796</v>
      </c>
      <c r="D37" s="480"/>
      <c r="E37" s="480"/>
      <c r="F37" s="480"/>
      <c r="G37" s="480"/>
      <c r="H37" s="480"/>
      <c r="I37" s="480"/>
      <c r="J37" s="481"/>
      <c r="L37" s="38">
        <f>IF(SUM(M37:N37)&gt;0,1,0)</f>
        <v>1</v>
      </c>
      <c r="M37" s="38">
        <f>IF(AND(Opci!C45=1,Opci!H43&lt;&gt;"NE"),1,0)</f>
        <v>0</v>
      </c>
      <c r="N37" s="38">
        <f>IF(AND(Opci!C45&gt;1,Opci!H43&lt;&gt;"DA"),1,0)</f>
        <v>1</v>
      </c>
      <c r="O37" s="38"/>
    </row>
    <row r="38" spans="1:62" ht="84" customHeight="1" x14ac:dyDescent="0.2">
      <c r="A38" s="145" t="s">
        <v>144</v>
      </c>
      <c r="B38" s="146" t="str">
        <f t="shared" si="2"/>
        <v>Ispravno</v>
      </c>
      <c r="C38" s="479" t="s">
        <v>797</v>
      </c>
      <c r="D38" s="480"/>
      <c r="E38" s="480"/>
      <c r="F38" s="480"/>
      <c r="G38" s="480"/>
      <c r="H38" s="480"/>
      <c r="I38" s="480"/>
      <c r="J38" s="481"/>
      <c r="L38" s="38">
        <f>IF(SUM(M38:Q38)&gt;0,1,0)</f>
        <v>0</v>
      </c>
      <c r="M38" s="38">
        <f>IF(AND(Opci!C45&lt; 2,NT_I!O1+NT_D!P1&lt;&gt;0),1,0)</f>
        <v>0</v>
      </c>
      <c r="N38" s="38">
        <f>IF(AND(Opci!C47=1,NT_I!O1+NT_D!P1&lt;&gt;0),1,0)</f>
        <v>0</v>
      </c>
      <c r="O38" s="38">
        <f>IF(AND(Opci!C47&gt;1,Opci!C45&gt;1,Opci!C17&lt;&gt;32,NT_I!P2+NT_D!P2=0),1,0)</f>
        <v>0</v>
      </c>
      <c r="P38">
        <f>IF(AND(NT_I!O1&lt;&gt;0, NT_D!O1&lt;&gt;0),1,0)</f>
        <v>0</v>
      </c>
      <c r="Q38">
        <f>IF(AND(Opci!C17=32,NT_I!O1+NT_D!P1&gt;0),1,0)</f>
        <v>0</v>
      </c>
      <c r="R38">
        <f>IF(AND(Bilanca!P1=0,NT_D!P1+NT_I!P1&lt;&gt;0),1,0)</f>
        <v>0</v>
      </c>
      <c r="S38">
        <f>IF(AND(Opci!C47&gt;1,Opci!C45&gt;1,Opci!C17&lt;&gt;32,NT_I!P1+NT_D!P1=0,Bilanca!P1&lt;&gt;0),1,0)</f>
        <v>0</v>
      </c>
    </row>
    <row r="39" spans="1:62" ht="39.950000000000003" customHeight="1" x14ac:dyDescent="0.2">
      <c r="A39" s="145" t="s">
        <v>2174</v>
      </c>
      <c r="B39" s="146" t="str">
        <f t="shared" si="2"/>
        <v>Ispravno</v>
      </c>
      <c r="C39" s="479" t="s">
        <v>137</v>
      </c>
      <c r="D39" s="480"/>
      <c r="E39" s="480"/>
      <c r="F39" s="480"/>
      <c r="G39" s="480"/>
      <c r="H39" s="480"/>
      <c r="I39" s="480"/>
      <c r="J39" s="481"/>
      <c r="L39" s="38">
        <f>IF(SUM(M39:P39)&gt;0,1,0)</f>
        <v>0</v>
      </c>
      <c r="M39" s="38">
        <f>IF(AND(Opci!C45=1,PK!O1&lt;&gt;0),1,0)</f>
        <v>0</v>
      </c>
      <c r="N39" s="38">
        <f>IF(AND(Opci!C47=1,PK!O1&lt;&gt;0),1,0)</f>
        <v>0</v>
      </c>
      <c r="O39" s="38">
        <f>IF(AND(Opci!C47&gt;1,Opci!C45&gt;1,Opci!C17&lt;&gt;32,PK!O1=0),1,0)</f>
        <v>0</v>
      </c>
      <c r="P39">
        <f>IF(AND(Opci!C17=32,PK!O1&lt;&gt;0),1,0)</f>
        <v>0</v>
      </c>
      <c r="Q39" s="493" t="s">
        <v>1394</v>
      </c>
      <c r="R39" s="494"/>
      <c r="S39" s="494"/>
      <c r="T39" s="494"/>
      <c r="U39" s="494"/>
      <c r="V39" s="494"/>
      <c r="W39" s="495"/>
      <c r="Z39" s="93"/>
      <c r="AA39" s="38"/>
      <c r="AB39" s="38"/>
      <c r="AC39" s="38"/>
      <c r="AD39" s="38"/>
      <c r="AE39" s="38"/>
      <c r="AF39" s="96"/>
    </row>
    <row r="40" spans="1:62" ht="63.75" customHeight="1" x14ac:dyDescent="0.2">
      <c r="A40" s="145" t="s">
        <v>1577</v>
      </c>
      <c r="B40" s="146" t="str">
        <f t="shared" si="2"/>
        <v>Nije ispravno</v>
      </c>
      <c r="C40" s="479" t="s">
        <v>1481</v>
      </c>
      <c r="D40" s="480"/>
      <c r="E40" s="480"/>
      <c r="F40" s="480"/>
      <c r="G40" s="480"/>
      <c r="H40" s="480"/>
      <c r="I40" s="480"/>
      <c r="J40" s="481"/>
      <c r="L40" s="38">
        <f>IF(SUM(M40:P40)&gt;0,1,0)</f>
        <v>1</v>
      </c>
      <c r="M40" s="38">
        <f>IF(AND(Opci!C41="DA",Opci!C45&gt;1,Opci!H49="NE"),1,0)</f>
        <v>1</v>
      </c>
      <c r="N40" s="38">
        <f>IF(AND(OR(Opci!E9=5,Opci!E9=2),RDG!K44&gt;30000000,OR(Opci!C17=10,Opci!C17=11),Opci!H49="NE",Opci!C45&lt;&gt;1),1,0)</f>
        <v>0</v>
      </c>
      <c r="O40" s="38">
        <f>IF(AND(Opci!E9=4,Opci!C45&gt;1,OR(Opci!C17=10,Opci!C17=11),Opci!H49="NE"),1,0)</f>
        <v>1</v>
      </c>
      <c r="P40">
        <f>IF(AND(Opci!C45=1,Opci!H49="DA"),1,0)</f>
        <v>0</v>
      </c>
      <c r="X40" s="112"/>
      <c r="Y40" s="112"/>
      <c r="Z40" s="112"/>
    </row>
    <row r="41" spans="1:62" ht="30" customHeight="1" x14ac:dyDescent="0.2">
      <c r="A41" s="145" t="s">
        <v>2175</v>
      </c>
      <c r="B41" s="146" t="str">
        <f t="shared" si="2"/>
        <v>Nije ispravno</v>
      </c>
      <c r="C41" s="479" t="s">
        <v>1914</v>
      </c>
      <c r="D41" s="480"/>
      <c r="E41" s="480"/>
      <c r="F41" s="480"/>
      <c r="G41" s="480"/>
      <c r="H41" s="480"/>
      <c r="I41" s="480"/>
      <c r="J41" s="481"/>
      <c r="L41" s="38">
        <f>IF(SUM(M41:P41)&gt;0,1,0)</f>
        <v>1</v>
      </c>
      <c r="M41" s="38">
        <f>IF(AND(Opci!C45=1,Opci!H51="DA"),1,0)</f>
        <v>0</v>
      </c>
      <c r="N41" s="38">
        <f>IF(AND(Opci!C47&lt;2,Opci!H51="DA"),1,0)</f>
        <v>0</v>
      </c>
      <c r="O41" s="38">
        <f>IF(AND(Opci!H51="DA",Opci!C17&lt;&gt;10,Opci!C17&lt;&gt;11,Opci!C17&lt;&gt;20,Opci!C17&lt;&gt;30),1,0)</f>
        <v>0</v>
      </c>
      <c r="P41">
        <f>IF(AND(Opci!H51="NE",Opci!C17&lt;12,Opci!C47&gt;1,Opci!C45&gt;1),1,0)</f>
        <v>1</v>
      </c>
      <c r="Q41" s="38"/>
      <c r="R41" s="38"/>
      <c r="S41" s="38"/>
      <c r="T41" s="96"/>
    </row>
    <row r="42" spans="1:62" ht="39" customHeight="1" x14ac:dyDescent="0.2">
      <c r="A42" s="145" t="s">
        <v>2176</v>
      </c>
      <c r="B42" s="146" t="str">
        <f t="shared" si="2"/>
        <v>Ispravno</v>
      </c>
      <c r="C42" s="479" t="s">
        <v>1915</v>
      </c>
      <c r="D42" s="480"/>
      <c r="E42" s="480"/>
      <c r="F42" s="480"/>
      <c r="G42" s="480"/>
      <c r="H42" s="480"/>
      <c r="I42" s="480"/>
      <c r="J42" s="481"/>
      <c r="L42" s="38">
        <f>IF(SUM(M42:Q42)&gt;0,1,0)</f>
        <v>0</v>
      </c>
      <c r="M42" s="38">
        <f>IF(AND(Opci!C17&lt;&gt;10,Opci!C17&lt;&gt;11,Opci!C17&lt;&gt;20,Opci!C17&lt;&gt;30,Opci!H53="DA"),1,0)</f>
        <v>0</v>
      </c>
      <c r="N42" s="38">
        <f>IF(AND(Opci!H53="DA",Opci!C45&lt;2),1,0)</f>
        <v>0</v>
      </c>
      <c r="O42" s="38">
        <f>IF(AND(Opci!C45&gt;1,Opci!H53&lt;&gt;"DA",Opci!C17=10,Opci!C41&lt;&gt;"DA"),1,0)</f>
        <v>0</v>
      </c>
      <c r="P42">
        <f>IF(AND(Opci!C45&gt;1,Opci!H53&lt;&gt;"DA",Opci!C17=11,Opci!C41&lt;&gt;"DA"),1,0)</f>
        <v>0</v>
      </c>
      <c r="Q42">
        <f>IF(AND(Opci!C41="DA",Opci!H53="DA"),1,0)</f>
        <v>0</v>
      </c>
      <c r="R42" s="38"/>
      <c r="S42" s="38"/>
      <c r="T42" s="38"/>
      <c r="U42" s="38"/>
      <c r="V42" s="38"/>
      <c r="W42" s="96"/>
    </row>
    <row r="43" spans="1:62" ht="42" customHeight="1" x14ac:dyDescent="0.2">
      <c r="A43" s="145" t="s">
        <v>608</v>
      </c>
      <c r="B43" s="146" t="str">
        <f t="shared" si="2"/>
        <v>Nije ispravno</v>
      </c>
      <c r="C43" s="479" t="s">
        <v>138</v>
      </c>
      <c r="D43" s="480"/>
      <c r="E43" s="480"/>
      <c r="F43" s="480"/>
      <c r="G43" s="480"/>
      <c r="H43" s="480"/>
      <c r="I43" s="480"/>
      <c r="J43" s="481"/>
      <c r="L43" s="156">
        <f>IF(SUM(M43:P43)&gt;0,1,0)</f>
        <v>1</v>
      </c>
      <c r="M43" s="38">
        <f>IF(AND(Opci!C45=1,Opci!H55="DA"),1,0)</f>
        <v>0</v>
      </c>
      <c r="N43" s="38">
        <f>IF(AND(Kont!H58="DA",Opci!C17&lt;&gt;10,Opci!C17&lt;&gt;11,Opci!C17&lt;&gt;20,Opci!C17&lt;&gt;30),1,0)</f>
        <v>0</v>
      </c>
      <c r="O43" s="38">
        <f>IF(AND(Opci!C17=10,Opci!C45&gt;1,Opci!H55&lt;&gt; "DA"),1,0)</f>
        <v>0</v>
      </c>
      <c r="P43">
        <f>IF(AND(Opci!C17=11,Opci!C45&gt;1,Opci!H55&lt;&gt; "DA"),1,0)</f>
        <v>1</v>
      </c>
      <c r="Q43" s="113"/>
      <c r="R43" s="114"/>
      <c r="S43" s="114"/>
      <c r="T43" s="114"/>
      <c r="U43" s="114"/>
      <c r="V43" s="114"/>
      <c r="W43" s="115"/>
      <c r="Z43" s="93"/>
      <c r="AA43" s="38"/>
      <c r="AB43" s="38"/>
      <c r="AC43" s="38"/>
      <c r="AD43" s="38"/>
      <c r="AE43" s="38"/>
      <c r="AF43" s="96"/>
    </row>
    <row r="44" spans="1:62" ht="39.950000000000003" customHeight="1" x14ac:dyDescent="0.2">
      <c r="A44" s="145" t="s">
        <v>609</v>
      </c>
      <c r="B44" s="146" t="str">
        <f t="shared" si="2"/>
        <v>Ispravno</v>
      </c>
      <c r="C44" s="476" t="s">
        <v>1913</v>
      </c>
      <c r="D44" s="477"/>
      <c r="E44" s="477"/>
      <c r="F44" s="477"/>
      <c r="G44" s="477"/>
      <c r="H44" s="477"/>
      <c r="I44" s="477"/>
      <c r="J44" s="478"/>
      <c r="L44" s="38">
        <f>IF(AND(Opci!C17=11,Opci!C45=3),1,0)</f>
        <v>0</v>
      </c>
      <c r="M44" s="38"/>
      <c r="N44" s="38"/>
      <c r="O44" s="38"/>
      <c r="Q44" s="113"/>
      <c r="R44" s="114"/>
      <c r="S44" s="114"/>
      <c r="T44" s="114"/>
      <c r="U44" s="114"/>
      <c r="V44" s="114"/>
      <c r="W44" s="115"/>
      <c r="Z44" s="93"/>
      <c r="AA44" s="38"/>
      <c r="AB44" s="38"/>
      <c r="AC44" s="38"/>
      <c r="AD44" s="38"/>
      <c r="AE44" s="38"/>
      <c r="AF44" s="96"/>
    </row>
    <row r="45" spans="1:62" ht="90" customHeight="1" x14ac:dyDescent="0.2">
      <c r="A45" s="145" t="s">
        <v>610</v>
      </c>
      <c r="B45" s="146" t="str">
        <f>IF(L45=0,"Ispravno", "Nije ispravno")</f>
        <v>Ispravno</v>
      </c>
      <c r="C45" s="476" t="s">
        <v>621</v>
      </c>
      <c r="D45" s="477"/>
      <c r="E45" s="477"/>
      <c r="F45" s="477"/>
      <c r="G45" s="477"/>
      <c r="H45" s="477"/>
      <c r="I45" s="477"/>
      <c r="J45" s="478"/>
      <c r="L45" s="38">
        <f>IF(OR(M45=1,N45=1,Q45=1,R45=1,S45=1,T45=1,U45=1, V45=1,W45=1, X45=1),1,0)</f>
        <v>0</v>
      </c>
      <c r="M45" s="38">
        <f>IF(OR(Opci!C57&gt;12,Opci!E57&gt;12,Opci!C57&lt;0,Opci!E57&lt;0),1,0)</f>
        <v>0</v>
      </c>
      <c r="N45" s="38">
        <f>IF(OR(Opci!E57&gt;O45,Opci!E57&lt;P45),1,0)</f>
        <v>0</v>
      </c>
      <c r="O45" s="157">
        <f>ROUND((Opci!H5-Opci!E5+20)/30,0)</f>
        <v>4</v>
      </c>
      <c r="P45">
        <f>ROUND((Opci!H5-Opci!E5-20)/30,0)</f>
        <v>2</v>
      </c>
      <c r="Q45">
        <f>IF(AND(SUM(RDG!K9:K50)&gt;0,Opci!C57=0),1, 0)</f>
        <v>0</v>
      </c>
      <c r="R45">
        <f>IF(AND(SUM(RDG!L9:L50)&gt;0,Opci!E57=0),1, 0)</f>
        <v>0</v>
      </c>
      <c r="S45" s="114">
        <f>IF(AND(Opci!C17=32,OR(Opci!C57&lt;&gt;0,Opci!E57&lt;&gt;0,Opci!E5&lt;&gt;Opci!H5)),1,0)</f>
        <v>0</v>
      </c>
      <c r="T45" s="114">
        <f>IF(Opci!E5&gt;Opci!H5,1,0)</f>
        <v>0</v>
      </c>
      <c r="U45" s="114">
        <f>IF(AND(Opci!C17=32,Bilanca!P1&lt;&gt;0),1,0)</f>
        <v>0</v>
      </c>
      <c r="V45" s="114">
        <f>IF(AND(Opci!C17=10,OR(MONTH(Opci!H5)&lt;&gt;12,DAY(Opci!H5)&lt;&gt;31)),1,0)</f>
        <v>0</v>
      </c>
      <c r="W45" s="114">
        <f>IF(AND(Opci!C17=11,OR(MONTH(Opci!H5)&lt;&gt;12,DAY(Opci!H5)&lt;&gt;31),Opci!C45=1),1,0)</f>
        <v>0</v>
      </c>
      <c r="X45" s="115">
        <f>IF(AND(Opci!C17=11,MONTH(Opci!H5)=12,DAY(Opci!H5)=31,Opci!C45=2),1,0)</f>
        <v>0</v>
      </c>
      <c r="AA45" s="93"/>
      <c r="AB45" s="38"/>
      <c r="AC45" s="38"/>
      <c r="AD45" s="38"/>
      <c r="AE45" s="38"/>
      <c r="AF45" s="38"/>
      <c r="AG45" s="96"/>
    </row>
    <row r="46" spans="1:62" ht="42" customHeight="1" x14ac:dyDescent="0.2">
      <c r="A46" s="145" t="s">
        <v>611</v>
      </c>
      <c r="B46" s="146" t="str">
        <f>IF(L46=0,"Ispravno", "Nije ispravno")</f>
        <v>Ispravno</v>
      </c>
      <c r="C46" s="476" t="s">
        <v>415</v>
      </c>
      <c r="D46" s="477"/>
      <c r="E46" s="477"/>
      <c r="F46" s="477"/>
      <c r="G46" s="477"/>
      <c r="H46" s="477"/>
      <c r="I46" s="477"/>
      <c r="J46" s="478"/>
      <c r="L46" s="38">
        <f>IF(OR(M46=1,N46=1),1,0)</f>
        <v>0</v>
      </c>
      <c r="M46" s="38">
        <f>IF(AND(Opci!C41="DA",Opci!C45&lt;&gt;2),1,0)</f>
        <v>0</v>
      </c>
      <c r="N46" s="38">
        <f>IF(AND(Opci!C41="DA",Opci!C17&lt;&gt;10,Opci!C17&lt;&gt;11,Opci!C17&lt;&gt;20,Opci!C17&lt;&gt;30),1,0)</f>
        <v>0</v>
      </c>
      <c r="O46" s="38"/>
      <c r="Q46" s="113"/>
      <c r="R46" s="114"/>
      <c r="S46" s="114"/>
      <c r="T46" s="114"/>
      <c r="U46" s="114"/>
      <c r="V46" s="114"/>
      <c r="W46" s="115"/>
      <c r="Z46" s="93"/>
      <c r="AA46" s="38"/>
      <c r="AB46" s="38"/>
      <c r="AC46" s="38"/>
      <c r="AD46" s="38"/>
      <c r="AE46" s="38"/>
      <c r="AF46" s="96"/>
    </row>
    <row r="47" spans="1:62" ht="42" customHeight="1" x14ac:dyDescent="0.2">
      <c r="A47" s="145" t="s">
        <v>612</v>
      </c>
      <c r="B47" s="146" t="str">
        <f>IF(L47=0,"Ispravno", "Nije ispravno")</f>
        <v>Nije ispravno</v>
      </c>
      <c r="C47" s="476" t="s">
        <v>2426</v>
      </c>
      <c r="D47" s="477"/>
      <c r="E47" s="477"/>
      <c r="F47" s="477"/>
      <c r="G47" s="477"/>
      <c r="H47" s="477"/>
      <c r="I47" s="477"/>
      <c r="J47" s="478"/>
      <c r="L47" s="38">
        <f>IF(OR(M47=1,N47=1),1,0)</f>
        <v>1</v>
      </c>
      <c r="M47" s="38">
        <f>IF(AND(Opci!C41&lt;&gt;"DA",(Bilanca!Q2+Bilanca!R2+RDG!Q2+RDG!R2+PK!Q2+PK!R2)&lt;&gt;0),1,0)</f>
        <v>0</v>
      </c>
      <c r="N47" s="38">
        <f>IF(AND(Opci!C41="DA",(ABS(Bilanca!Q1)+ABS(Bilanca!R1)+ABS(RDG!Q1)+ABS(RDG!R1)+ABS(PK!Q1+PK!R1))&gt;0),1,0)</f>
        <v>1</v>
      </c>
      <c r="O47" s="38"/>
      <c r="Q47" s="113"/>
      <c r="R47" s="114"/>
      <c r="S47" s="114"/>
      <c r="T47" s="114"/>
      <c r="U47" s="114"/>
      <c r="V47" s="114"/>
      <c r="W47" s="115"/>
      <c r="Z47" s="93"/>
      <c r="AA47" s="38"/>
      <c r="AB47" s="38"/>
      <c r="AC47" s="38"/>
      <c r="AD47" s="38"/>
      <c r="AE47" s="38"/>
      <c r="AF47" s="96"/>
    </row>
    <row r="48" spans="1:62" ht="29.25" customHeight="1" x14ac:dyDescent="0.2">
      <c r="A48" s="145" t="s">
        <v>2429</v>
      </c>
      <c r="B48" s="146" t="str">
        <f t="shared" si="2"/>
        <v>Ispravno</v>
      </c>
      <c r="C48" s="476" t="s">
        <v>971</v>
      </c>
      <c r="D48" s="477"/>
      <c r="E48" s="477"/>
      <c r="F48" s="477"/>
      <c r="G48" s="477"/>
      <c r="H48" s="477"/>
      <c r="I48" s="477"/>
      <c r="J48" s="478"/>
      <c r="L48" s="38">
        <f>IF(AND(Opci!E9&gt;6,Opci!C45&gt;1),1,0)</f>
        <v>0</v>
      </c>
      <c r="M48" s="38"/>
      <c r="N48" s="38"/>
      <c r="O48" s="38"/>
      <c r="Q48" s="113"/>
      <c r="R48" s="114"/>
      <c r="S48" s="114"/>
      <c r="T48" s="114"/>
      <c r="U48" s="114"/>
      <c r="V48" s="114"/>
      <c r="W48" s="115"/>
      <c r="Z48" s="93"/>
      <c r="AA48" s="38"/>
      <c r="AB48" s="38"/>
      <c r="AC48" s="38"/>
      <c r="AD48" s="38"/>
      <c r="AE48" s="38"/>
      <c r="AF48" s="96"/>
    </row>
    <row r="49" spans="1:32" ht="39" customHeight="1" x14ac:dyDescent="0.2">
      <c r="A49" s="145" t="s">
        <v>2289</v>
      </c>
      <c r="B49" s="146" t="str">
        <f>IF(L49=0,"Ispravno", "Nije ispravno")</f>
        <v>Ispravno</v>
      </c>
      <c r="C49" s="476" t="s">
        <v>2595</v>
      </c>
      <c r="D49" s="477"/>
      <c r="E49" s="477"/>
      <c r="F49" s="477"/>
      <c r="G49" s="477"/>
      <c r="H49" s="477"/>
      <c r="I49" s="477"/>
      <c r="J49" s="478"/>
      <c r="L49" s="38">
        <f>IF(SUM(M49:T49)&gt;0,1,0)</f>
        <v>0</v>
      </c>
      <c r="M49" s="152">
        <f>IF(ISERROR(INT(Opci!C63)),1,0)</f>
        <v>0</v>
      </c>
      <c r="N49" s="38">
        <f>IF(ISERROR(INT(Opci!G59)),1,0)</f>
        <v>0</v>
      </c>
      <c r="O49" s="38">
        <f>IF(ISERROR(INT(Opci!J59)),1,0)</f>
        <v>0</v>
      </c>
      <c r="P49" s="38">
        <f>IF(ISERROR(INT(Opci!M59)),1,0)</f>
        <v>0</v>
      </c>
      <c r="Q49" s="38">
        <f>IF(ISERROR(INT(Opci!G61)),1,0)</f>
        <v>0</v>
      </c>
      <c r="R49" s="38">
        <f>IF(ISERROR(INT(Opci!J61)),1,0)</f>
        <v>0</v>
      </c>
      <c r="S49" s="38">
        <f>IF(ISERROR(INT(Opci!M61)),1,0)</f>
        <v>0</v>
      </c>
      <c r="T49" s="38">
        <f>IF(ISERROR(INT(Opci!G61)),1,0)</f>
        <v>0</v>
      </c>
      <c r="W49" s="93"/>
      <c r="X49" s="38"/>
      <c r="Y49" s="38"/>
      <c r="Z49" s="38"/>
      <c r="AA49" s="38"/>
      <c r="AB49" s="38"/>
      <c r="AC49" s="96"/>
    </row>
    <row r="50" spans="1:32" ht="29.25" customHeight="1" x14ac:dyDescent="0.2">
      <c r="A50" s="145" t="s">
        <v>2594</v>
      </c>
      <c r="B50" s="146" t="str">
        <f>IF(L50=0,"Ispravno", "Nije ispravno")</f>
        <v>Ispravno</v>
      </c>
      <c r="C50" s="496" t="s">
        <v>2290</v>
      </c>
      <c r="D50" s="497"/>
      <c r="E50" s="497"/>
      <c r="F50" s="497"/>
      <c r="G50" s="497"/>
      <c r="H50" s="497"/>
      <c r="I50" s="497"/>
      <c r="J50" s="498"/>
      <c r="L50" s="38">
        <f>IF(Opci!C51+Opci!E51&lt;&gt;100,1,0)</f>
        <v>0</v>
      </c>
      <c r="M50" s="38"/>
      <c r="N50" s="38"/>
      <c r="O50" s="38"/>
      <c r="Q50" s="113"/>
      <c r="R50" s="114"/>
      <c r="S50" s="114"/>
      <c r="T50" s="114"/>
      <c r="U50" s="114"/>
      <c r="V50" s="114"/>
      <c r="W50" s="115"/>
      <c r="Z50" s="93"/>
      <c r="AA50" s="38"/>
      <c r="AB50" s="38"/>
      <c r="AC50" s="38"/>
      <c r="AD50" s="38"/>
      <c r="AE50" s="38"/>
      <c r="AF50" s="96"/>
    </row>
    <row r="51" spans="1:32" ht="32.25" customHeight="1" x14ac:dyDescent="0.2">
      <c r="A51" s="485" t="s">
        <v>826</v>
      </c>
      <c r="B51" s="486"/>
      <c r="C51" s="486"/>
      <c r="D51" s="486"/>
      <c r="E51" s="486"/>
      <c r="F51" s="486"/>
      <c r="G51" s="486"/>
      <c r="H51" s="486"/>
      <c r="I51" s="486"/>
      <c r="J51" s="487"/>
      <c r="L51" s="38"/>
      <c r="M51" s="38"/>
      <c r="N51" s="38"/>
      <c r="O51" s="38"/>
    </row>
    <row r="52" spans="1:32" ht="39.950000000000003" customHeight="1" x14ac:dyDescent="0.2">
      <c r="A52" s="145" t="s">
        <v>967</v>
      </c>
      <c r="B52" s="146" t="str">
        <f>IF(L52=0,"Ispravno", "Upozorenje!!!")</f>
        <v>Ispravno</v>
      </c>
      <c r="C52" s="488" t="s">
        <v>1555</v>
      </c>
      <c r="D52" s="483"/>
      <c r="E52" s="483"/>
      <c r="F52" s="483"/>
      <c r="G52" s="483"/>
      <c r="H52" s="483"/>
      <c r="I52" s="483"/>
      <c r="J52" s="484"/>
      <c r="L52" s="38">
        <f>IF(AND(M52&gt;0,SUM(N52:O52)&gt;0),1,0)</f>
        <v>0</v>
      </c>
      <c r="M52" s="38">
        <f>IF(OR(Opci!E9=4,Opci!E9=5),1,0)</f>
        <v>1</v>
      </c>
      <c r="N52" s="38">
        <f>IF(AND(Bilanca!K73=0,Bilanca!P1&gt;0),1,0)</f>
        <v>0</v>
      </c>
      <c r="O52" s="38">
        <f>IF(AND(Bilanca!L73=0,Bilanca!P2&gt;0),1,0)</f>
        <v>0</v>
      </c>
    </row>
    <row r="53" spans="1:32" ht="50.1" customHeight="1" x14ac:dyDescent="0.2">
      <c r="A53" s="145" t="s">
        <v>968</v>
      </c>
      <c r="B53" s="146" t="str">
        <f>IF(L53=0,"Ispravno", "Upozorenje!!!")</f>
        <v>Upozorenje!!!</v>
      </c>
      <c r="C53" s="482" t="s">
        <v>920</v>
      </c>
      <c r="D53" s="483"/>
      <c r="E53" s="483"/>
      <c r="F53" s="483"/>
      <c r="G53" s="483"/>
      <c r="H53" s="483"/>
      <c r="I53" s="483"/>
      <c r="J53" s="484"/>
      <c r="L53" s="38">
        <f>IF(OR(M53=1,N53=1),1,0)</f>
        <v>1</v>
      </c>
      <c r="M53" s="38">
        <f>IF(OR(Opci!C53&gt;1000,Opci!E53&gt;1000,Opci!C55&gt;1000,Opci!E55&gt;1000),1,0)</f>
        <v>1</v>
      </c>
      <c r="N53" s="38">
        <f>IF(MAX(O53:R53)&gt;15,1,0)</f>
        <v>0</v>
      </c>
      <c r="O53" s="38">
        <f>IF(Opci!C53+Opci!C55&gt;20,ABS(Opci!C53-Opci!C55)/(Opci!C53+Opci!C55)*200,0)</f>
        <v>4.947424162190786</v>
      </c>
      <c r="P53">
        <f>IF(Opci!E53+Opci!E55&gt;20,ABS(Opci!E53-Opci!E55)/(Opci!E53+Opci!E55)*200,0)</f>
        <v>3.2772098616957304</v>
      </c>
      <c r="Q53">
        <f>IF(Opci!C53+Opci!E53&gt;20,ABS(Opci!C53-Opci!E53)/(Opci!C53+Opci!E53)*200,0)</f>
        <v>0.17733116595241613</v>
      </c>
      <c r="R53">
        <f>IF(Opci!C55+Opci!E55,ABS(Opci!C55-Opci!E55)/(Opci!C55+Opci!E55)*200,0)</f>
        <v>1.4935714835630149</v>
      </c>
    </row>
    <row r="54" spans="1:32" ht="5.0999999999999996" customHeight="1" x14ac:dyDescent="0.2"/>
    <row r="55" spans="1:32" hidden="1" x14ac:dyDescent="0.2"/>
    <row r="56" spans="1:32" hidden="1" x14ac:dyDescent="0.2"/>
    <row r="57" spans="1:32" hidden="1" x14ac:dyDescent="0.2"/>
    <row r="58" spans="1:32" hidden="1" x14ac:dyDescent="0.2"/>
    <row r="59" spans="1:32" hidden="1" x14ac:dyDescent="0.2"/>
  </sheetData>
  <sheetProtection password="C79A" sheet="1" objects="1" scenarios="1"/>
  <mergeCells count="54">
    <mergeCell ref="C50:J50"/>
    <mergeCell ref="C16:J16"/>
    <mergeCell ref="C48:J48"/>
    <mergeCell ref="C15:J15"/>
    <mergeCell ref="C24:J24"/>
    <mergeCell ref="C49:J49"/>
    <mergeCell ref="C33:J33"/>
    <mergeCell ref="C34:J34"/>
    <mergeCell ref="C22:J22"/>
    <mergeCell ref="Q39:W39"/>
    <mergeCell ref="C30:J30"/>
    <mergeCell ref="C36:J36"/>
    <mergeCell ref="C25:J25"/>
    <mergeCell ref="C26:J26"/>
    <mergeCell ref="C29:J29"/>
    <mergeCell ref="C27:J27"/>
    <mergeCell ref="C35:J35"/>
    <mergeCell ref="C12:J12"/>
    <mergeCell ref="C14:J14"/>
    <mergeCell ref="C19:J19"/>
    <mergeCell ref="C20:J20"/>
    <mergeCell ref="C17:J17"/>
    <mergeCell ref="C18:J18"/>
    <mergeCell ref="C13:J13"/>
    <mergeCell ref="A1:B2"/>
    <mergeCell ref="C38:J38"/>
    <mergeCell ref="C39:J39"/>
    <mergeCell ref="A31:J31"/>
    <mergeCell ref="A4:J4"/>
    <mergeCell ref="C3:J3"/>
    <mergeCell ref="A3:B3"/>
    <mergeCell ref="C9:J9"/>
    <mergeCell ref="C23:J23"/>
    <mergeCell ref="C7:J7"/>
    <mergeCell ref="C53:J53"/>
    <mergeCell ref="C45:J45"/>
    <mergeCell ref="C44:J44"/>
    <mergeCell ref="C41:J41"/>
    <mergeCell ref="A51:J51"/>
    <mergeCell ref="C52:J52"/>
    <mergeCell ref="C47:J47"/>
    <mergeCell ref="C42:J42"/>
    <mergeCell ref="C43:J43"/>
    <mergeCell ref="C46:J46"/>
    <mergeCell ref="C5:J5"/>
    <mergeCell ref="C6:J6"/>
    <mergeCell ref="C32:J32"/>
    <mergeCell ref="C40:J40"/>
    <mergeCell ref="C37:J37"/>
    <mergeCell ref="C8:J8"/>
    <mergeCell ref="C11:J11"/>
    <mergeCell ref="C10:J10"/>
    <mergeCell ref="C28:J28"/>
    <mergeCell ref="C21:J21"/>
  </mergeCells>
  <phoneticPr fontId="2" type="noConversion"/>
  <conditionalFormatting sqref="B52:B53">
    <cfRule type="cellIs" dxfId="1" priority="1" stopIfTrue="1" operator="equal">
      <formula>"Upozorenje!!!"</formula>
    </cfRule>
  </conditionalFormatting>
  <conditionalFormatting sqref="B5:B30 B32:B50">
    <cfRule type="cellIs" dxfId="0" priority="2" stopIfTrue="1" operator="equal">
      <formula>"Nije ispravno"</formula>
    </cfRule>
  </conditionalFormatting>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ageMargins left="0.59055118110236227" right="0.59055118110236227" top="0.59055118110236227" bottom="0.78740157480314965" header="0.39370078740157483" footer="0.59055118110236227"/>
  <pageSetup paperSize="9" scale="84" fitToHeight="0"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J620"/>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7.28515625" customWidth="1"/>
    <col min="2" max="7" width="10.7109375" customWidth="1"/>
    <col min="8" max="10" width="11.7109375" customWidth="1"/>
    <col min="11" max="11" width="0.85546875" customWidth="1"/>
  </cols>
  <sheetData>
    <row r="1" spans="1:10" ht="20.100000000000001" customHeight="1" x14ac:dyDescent="0.2">
      <c r="A1" s="312" t="s">
        <v>559</v>
      </c>
      <c r="B1" s="313"/>
      <c r="C1" s="126" t="s">
        <v>95</v>
      </c>
      <c r="D1" s="123" t="s">
        <v>560</v>
      </c>
      <c r="E1" s="123" t="s">
        <v>1410</v>
      </c>
      <c r="F1" s="144" t="s">
        <v>2177</v>
      </c>
      <c r="G1" s="123" t="s">
        <v>96</v>
      </c>
      <c r="H1" s="144" t="s">
        <v>97</v>
      </c>
      <c r="I1" s="123" t="s">
        <v>1411</v>
      </c>
      <c r="J1" s="124" t="s">
        <v>98</v>
      </c>
    </row>
    <row r="2" spans="1:10" s="3" customFormat="1" ht="20.100000000000001" customHeight="1" x14ac:dyDescent="0.2">
      <c r="A2" s="314"/>
      <c r="B2" s="315"/>
      <c r="C2" s="127" t="s">
        <v>1114</v>
      </c>
      <c r="D2" s="128" t="s">
        <v>1413</v>
      </c>
      <c r="E2" s="128" t="s">
        <v>1115</v>
      </c>
      <c r="F2" s="128" t="s">
        <v>1412</v>
      </c>
      <c r="G2" s="128" t="s">
        <v>99</v>
      </c>
      <c r="H2" s="128" t="s">
        <v>1116</v>
      </c>
      <c r="I2" s="129" t="s">
        <v>100</v>
      </c>
      <c r="J2" s="125"/>
    </row>
    <row r="3" spans="1:10" s="3" customFormat="1" ht="30" customHeight="1" x14ac:dyDescent="0.2">
      <c r="A3" s="505" t="s">
        <v>1191</v>
      </c>
      <c r="B3" s="506"/>
      <c r="C3" s="507"/>
      <c r="D3" s="507"/>
      <c r="E3" s="507"/>
      <c r="F3" s="507"/>
      <c r="G3" s="507"/>
      <c r="H3" s="507"/>
      <c r="I3" s="507"/>
      <c r="J3" s="508"/>
    </row>
    <row r="4" spans="1:10" s="3" customFormat="1" ht="15.75" customHeight="1" x14ac:dyDescent="0.2">
      <c r="A4" s="111" t="s">
        <v>1190</v>
      </c>
      <c r="B4" s="512" t="s">
        <v>1189</v>
      </c>
      <c r="C4" s="513"/>
      <c r="D4" s="513"/>
      <c r="E4" s="513"/>
      <c r="F4" s="513"/>
      <c r="G4" s="513"/>
      <c r="H4" s="513"/>
      <c r="I4" s="513"/>
      <c r="J4" s="514"/>
    </row>
    <row r="5" spans="1:10" ht="14.1" customHeight="1" x14ac:dyDescent="0.2">
      <c r="A5" s="108" t="s">
        <v>704</v>
      </c>
      <c r="B5" s="509" t="s">
        <v>705</v>
      </c>
      <c r="C5" s="510"/>
      <c r="D5" s="510"/>
      <c r="E5" s="510"/>
      <c r="F5" s="510"/>
      <c r="G5" s="510"/>
      <c r="H5" s="510"/>
      <c r="I5" s="510"/>
      <c r="J5" s="511"/>
    </row>
    <row r="6" spans="1:10" ht="14.1" customHeight="1" x14ac:dyDescent="0.2">
      <c r="A6" s="109" t="s">
        <v>706</v>
      </c>
      <c r="B6" s="499" t="s">
        <v>707</v>
      </c>
      <c r="C6" s="500"/>
      <c r="D6" s="500"/>
      <c r="E6" s="500"/>
      <c r="F6" s="500"/>
      <c r="G6" s="500"/>
      <c r="H6" s="500"/>
      <c r="I6" s="500"/>
      <c r="J6" s="501"/>
    </row>
    <row r="7" spans="1:10" ht="14.1" customHeight="1" x14ac:dyDescent="0.2">
      <c r="A7" s="109" t="s">
        <v>708</v>
      </c>
      <c r="B7" s="499" t="s">
        <v>709</v>
      </c>
      <c r="C7" s="500"/>
      <c r="D7" s="500"/>
      <c r="E7" s="500"/>
      <c r="F7" s="500"/>
      <c r="G7" s="500"/>
      <c r="H7" s="500"/>
      <c r="I7" s="500"/>
      <c r="J7" s="501"/>
    </row>
    <row r="8" spans="1:10" ht="14.1" customHeight="1" x14ac:dyDescent="0.2">
      <c r="A8" s="109" t="s">
        <v>710</v>
      </c>
      <c r="B8" s="499" t="s">
        <v>711</v>
      </c>
      <c r="C8" s="500"/>
      <c r="D8" s="500"/>
      <c r="E8" s="500"/>
      <c r="F8" s="500"/>
      <c r="G8" s="500"/>
      <c r="H8" s="500"/>
      <c r="I8" s="500"/>
      <c r="J8" s="501"/>
    </row>
    <row r="9" spans="1:10" ht="14.1" customHeight="1" x14ac:dyDescent="0.2">
      <c r="A9" s="109" t="s">
        <v>712</v>
      </c>
      <c r="B9" s="499" t="s">
        <v>713</v>
      </c>
      <c r="C9" s="500"/>
      <c r="D9" s="500"/>
      <c r="E9" s="500"/>
      <c r="F9" s="500"/>
      <c r="G9" s="500"/>
      <c r="H9" s="500"/>
      <c r="I9" s="500"/>
      <c r="J9" s="501"/>
    </row>
    <row r="10" spans="1:10" ht="14.1" customHeight="1" x14ac:dyDescent="0.2">
      <c r="A10" s="109" t="s">
        <v>714</v>
      </c>
      <c r="B10" s="499" t="s">
        <v>715</v>
      </c>
      <c r="C10" s="500"/>
      <c r="D10" s="500"/>
      <c r="E10" s="500"/>
      <c r="F10" s="500"/>
      <c r="G10" s="500"/>
      <c r="H10" s="500"/>
      <c r="I10" s="500"/>
      <c r="J10" s="501"/>
    </row>
    <row r="11" spans="1:10" ht="14.1" customHeight="1" x14ac:dyDescent="0.2">
      <c r="A11" s="109" t="s">
        <v>716</v>
      </c>
      <c r="B11" s="499" t="s">
        <v>717</v>
      </c>
      <c r="C11" s="500"/>
      <c r="D11" s="500"/>
      <c r="E11" s="500"/>
      <c r="F11" s="500"/>
      <c r="G11" s="500"/>
      <c r="H11" s="500"/>
      <c r="I11" s="500"/>
      <c r="J11" s="501"/>
    </row>
    <row r="12" spans="1:10" ht="14.1" customHeight="1" x14ac:dyDescent="0.2">
      <c r="A12" s="109" t="s">
        <v>718</v>
      </c>
      <c r="B12" s="499" t="s">
        <v>719</v>
      </c>
      <c r="C12" s="500"/>
      <c r="D12" s="500"/>
      <c r="E12" s="500"/>
      <c r="F12" s="500"/>
      <c r="G12" s="500"/>
      <c r="H12" s="500"/>
      <c r="I12" s="500"/>
      <c r="J12" s="501"/>
    </row>
    <row r="13" spans="1:10" ht="14.1" customHeight="1" x14ac:dyDescent="0.2">
      <c r="A13" s="109" t="s">
        <v>720</v>
      </c>
      <c r="B13" s="499" t="s">
        <v>721</v>
      </c>
      <c r="C13" s="500"/>
      <c r="D13" s="500"/>
      <c r="E13" s="500"/>
      <c r="F13" s="500"/>
      <c r="G13" s="500"/>
      <c r="H13" s="500"/>
      <c r="I13" s="500"/>
      <c r="J13" s="501"/>
    </row>
    <row r="14" spans="1:10" ht="14.1" customHeight="1" x14ac:dyDescent="0.2">
      <c r="A14" s="109" t="s">
        <v>722</v>
      </c>
      <c r="B14" s="499" t="s">
        <v>723</v>
      </c>
      <c r="C14" s="500"/>
      <c r="D14" s="500"/>
      <c r="E14" s="500"/>
      <c r="F14" s="500"/>
      <c r="G14" s="500"/>
      <c r="H14" s="500"/>
      <c r="I14" s="500"/>
      <c r="J14" s="501"/>
    </row>
    <row r="15" spans="1:10" ht="14.1" customHeight="1" x14ac:dyDescent="0.2">
      <c r="A15" s="109" t="s">
        <v>724</v>
      </c>
      <c r="B15" s="499" t="s">
        <v>725</v>
      </c>
      <c r="C15" s="500"/>
      <c r="D15" s="500"/>
      <c r="E15" s="500"/>
      <c r="F15" s="500"/>
      <c r="G15" s="500"/>
      <c r="H15" s="500"/>
      <c r="I15" s="500"/>
      <c r="J15" s="501"/>
    </row>
    <row r="16" spans="1:10" ht="14.1" customHeight="1" x14ac:dyDescent="0.2">
      <c r="A16" s="109" t="s">
        <v>726</v>
      </c>
      <c r="B16" s="499" t="s">
        <v>727</v>
      </c>
      <c r="C16" s="500"/>
      <c r="D16" s="500"/>
      <c r="E16" s="500"/>
      <c r="F16" s="500"/>
      <c r="G16" s="500"/>
      <c r="H16" s="500"/>
      <c r="I16" s="500"/>
      <c r="J16" s="501"/>
    </row>
    <row r="17" spans="1:10" ht="14.1" customHeight="1" x14ac:dyDescent="0.2">
      <c r="A17" s="109" t="s">
        <v>728</v>
      </c>
      <c r="B17" s="499" t="s">
        <v>729</v>
      </c>
      <c r="C17" s="500"/>
      <c r="D17" s="500"/>
      <c r="E17" s="500"/>
      <c r="F17" s="500"/>
      <c r="G17" s="500"/>
      <c r="H17" s="500"/>
      <c r="I17" s="500"/>
      <c r="J17" s="501"/>
    </row>
    <row r="18" spans="1:10" ht="14.1" customHeight="1" x14ac:dyDescent="0.2">
      <c r="A18" s="109" t="s">
        <v>730</v>
      </c>
      <c r="B18" s="499" t="s">
        <v>1149</v>
      </c>
      <c r="C18" s="500"/>
      <c r="D18" s="500"/>
      <c r="E18" s="500"/>
      <c r="F18" s="500"/>
      <c r="G18" s="500"/>
      <c r="H18" s="500"/>
      <c r="I18" s="500"/>
      <c r="J18" s="501"/>
    </row>
    <row r="19" spans="1:10" ht="14.1" customHeight="1" x14ac:dyDescent="0.2">
      <c r="A19" s="109" t="s">
        <v>1150</v>
      </c>
      <c r="B19" s="499" t="s">
        <v>1151</v>
      </c>
      <c r="C19" s="500"/>
      <c r="D19" s="500"/>
      <c r="E19" s="500"/>
      <c r="F19" s="500"/>
      <c r="G19" s="500"/>
      <c r="H19" s="500"/>
      <c r="I19" s="500"/>
      <c r="J19" s="501"/>
    </row>
    <row r="20" spans="1:10" ht="14.1" customHeight="1" x14ac:dyDescent="0.2">
      <c r="A20" s="109" t="s">
        <v>1152</v>
      </c>
      <c r="B20" s="499" t="s">
        <v>1153</v>
      </c>
      <c r="C20" s="500"/>
      <c r="D20" s="500"/>
      <c r="E20" s="500"/>
      <c r="F20" s="500"/>
      <c r="G20" s="500"/>
      <c r="H20" s="500"/>
      <c r="I20" s="500"/>
      <c r="J20" s="501"/>
    </row>
    <row r="21" spans="1:10" ht="14.1" customHeight="1" x14ac:dyDescent="0.2">
      <c r="A21" s="109" t="s">
        <v>1154</v>
      </c>
      <c r="B21" s="499" t="s">
        <v>1155</v>
      </c>
      <c r="C21" s="500"/>
      <c r="D21" s="500"/>
      <c r="E21" s="500"/>
      <c r="F21" s="500"/>
      <c r="G21" s="500"/>
      <c r="H21" s="500"/>
      <c r="I21" s="500"/>
      <c r="J21" s="501"/>
    </row>
    <row r="22" spans="1:10" ht="14.1" customHeight="1" x14ac:dyDescent="0.2">
      <c r="A22" s="109" t="s">
        <v>1156</v>
      </c>
      <c r="B22" s="499" t="s">
        <v>1157</v>
      </c>
      <c r="C22" s="500"/>
      <c r="D22" s="500"/>
      <c r="E22" s="500"/>
      <c r="F22" s="500"/>
      <c r="G22" s="500"/>
      <c r="H22" s="500"/>
      <c r="I22" s="500"/>
      <c r="J22" s="501"/>
    </row>
    <row r="23" spans="1:10" ht="14.1" customHeight="1" x14ac:dyDescent="0.2">
      <c r="A23" s="109" t="s">
        <v>1158</v>
      </c>
      <c r="B23" s="499" t="s">
        <v>1159</v>
      </c>
      <c r="C23" s="500"/>
      <c r="D23" s="500"/>
      <c r="E23" s="500"/>
      <c r="F23" s="500"/>
      <c r="G23" s="500"/>
      <c r="H23" s="500"/>
      <c r="I23" s="500"/>
      <c r="J23" s="501"/>
    </row>
    <row r="24" spans="1:10" ht="14.1" customHeight="1" x14ac:dyDescent="0.2">
      <c r="A24" s="109" t="s">
        <v>1160</v>
      </c>
      <c r="B24" s="499" t="s">
        <v>1161</v>
      </c>
      <c r="C24" s="500"/>
      <c r="D24" s="500"/>
      <c r="E24" s="500"/>
      <c r="F24" s="500"/>
      <c r="G24" s="500"/>
      <c r="H24" s="500"/>
      <c r="I24" s="500"/>
      <c r="J24" s="501"/>
    </row>
    <row r="25" spans="1:10" ht="14.1" customHeight="1" x14ac:dyDescent="0.2">
      <c r="A25" s="109" t="s">
        <v>1162</v>
      </c>
      <c r="B25" s="499" t="s">
        <v>1163</v>
      </c>
      <c r="C25" s="500"/>
      <c r="D25" s="500"/>
      <c r="E25" s="500"/>
      <c r="F25" s="500"/>
      <c r="G25" s="500"/>
      <c r="H25" s="500"/>
      <c r="I25" s="500"/>
      <c r="J25" s="501"/>
    </row>
    <row r="26" spans="1:10" ht="14.1" customHeight="1" x14ac:dyDescent="0.2">
      <c r="A26" s="109" t="s">
        <v>1164</v>
      </c>
      <c r="B26" s="499" t="s">
        <v>1165</v>
      </c>
      <c r="C26" s="500"/>
      <c r="D26" s="500"/>
      <c r="E26" s="500"/>
      <c r="F26" s="500"/>
      <c r="G26" s="500"/>
      <c r="H26" s="500"/>
      <c r="I26" s="500"/>
      <c r="J26" s="501"/>
    </row>
    <row r="27" spans="1:10" ht="14.1" customHeight="1" x14ac:dyDescent="0.2">
      <c r="A27" s="109" t="s">
        <v>1166</v>
      </c>
      <c r="B27" s="499" t="s">
        <v>1167</v>
      </c>
      <c r="C27" s="500"/>
      <c r="D27" s="500"/>
      <c r="E27" s="500"/>
      <c r="F27" s="500"/>
      <c r="G27" s="500"/>
      <c r="H27" s="500"/>
      <c r="I27" s="500"/>
      <c r="J27" s="501"/>
    </row>
    <row r="28" spans="1:10" ht="14.1" customHeight="1" x14ac:dyDescent="0.2">
      <c r="A28" s="109" t="s">
        <v>1168</v>
      </c>
      <c r="B28" s="499" t="s">
        <v>1169</v>
      </c>
      <c r="C28" s="500"/>
      <c r="D28" s="500"/>
      <c r="E28" s="500"/>
      <c r="F28" s="500"/>
      <c r="G28" s="500"/>
      <c r="H28" s="500"/>
      <c r="I28" s="500"/>
      <c r="J28" s="501"/>
    </row>
    <row r="29" spans="1:10" ht="14.1" customHeight="1" x14ac:dyDescent="0.2">
      <c r="A29" s="109" t="s">
        <v>1170</v>
      </c>
      <c r="B29" s="499" t="s">
        <v>1171</v>
      </c>
      <c r="C29" s="500"/>
      <c r="D29" s="500"/>
      <c r="E29" s="500"/>
      <c r="F29" s="500"/>
      <c r="G29" s="500"/>
      <c r="H29" s="500"/>
      <c r="I29" s="500"/>
      <c r="J29" s="501"/>
    </row>
    <row r="30" spans="1:10" ht="14.1" customHeight="1" x14ac:dyDescent="0.2">
      <c r="A30" s="109" t="s">
        <v>1172</v>
      </c>
      <c r="B30" s="499" t="s">
        <v>1173</v>
      </c>
      <c r="C30" s="500"/>
      <c r="D30" s="500"/>
      <c r="E30" s="500"/>
      <c r="F30" s="500"/>
      <c r="G30" s="500"/>
      <c r="H30" s="500"/>
      <c r="I30" s="500"/>
      <c r="J30" s="501"/>
    </row>
    <row r="31" spans="1:10" ht="14.1" customHeight="1" x14ac:dyDescent="0.2">
      <c r="A31" s="109" t="s">
        <v>1174</v>
      </c>
      <c r="B31" s="499" t="s">
        <v>743</v>
      </c>
      <c r="C31" s="500"/>
      <c r="D31" s="500"/>
      <c r="E31" s="500"/>
      <c r="F31" s="500"/>
      <c r="G31" s="500"/>
      <c r="H31" s="500"/>
      <c r="I31" s="500"/>
      <c r="J31" s="501"/>
    </row>
    <row r="32" spans="1:10" ht="14.1" customHeight="1" x14ac:dyDescent="0.2">
      <c r="A32" s="109" t="s">
        <v>744</v>
      </c>
      <c r="B32" s="499" t="s">
        <v>745</v>
      </c>
      <c r="C32" s="500"/>
      <c r="D32" s="500"/>
      <c r="E32" s="500"/>
      <c r="F32" s="500"/>
      <c r="G32" s="500"/>
      <c r="H32" s="500"/>
      <c r="I32" s="500"/>
      <c r="J32" s="501"/>
    </row>
    <row r="33" spans="1:10" ht="14.1" customHeight="1" x14ac:dyDescent="0.2">
      <c r="A33" s="109" t="s">
        <v>746</v>
      </c>
      <c r="B33" s="499" t="s">
        <v>496</v>
      </c>
      <c r="C33" s="500"/>
      <c r="D33" s="500"/>
      <c r="E33" s="500"/>
      <c r="F33" s="500"/>
      <c r="G33" s="500"/>
      <c r="H33" s="500"/>
      <c r="I33" s="500"/>
      <c r="J33" s="501"/>
    </row>
    <row r="34" spans="1:10" ht="14.1" customHeight="1" x14ac:dyDescent="0.2">
      <c r="A34" s="109" t="s">
        <v>497</v>
      </c>
      <c r="B34" s="499" t="s">
        <v>498</v>
      </c>
      <c r="C34" s="500"/>
      <c r="D34" s="500"/>
      <c r="E34" s="500"/>
      <c r="F34" s="500"/>
      <c r="G34" s="500"/>
      <c r="H34" s="500"/>
      <c r="I34" s="500"/>
      <c r="J34" s="501"/>
    </row>
    <row r="35" spans="1:10" ht="14.1" customHeight="1" x14ac:dyDescent="0.2">
      <c r="A35" s="109" t="s">
        <v>499</v>
      </c>
      <c r="B35" s="499" t="s">
        <v>500</v>
      </c>
      <c r="C35" s="500"/>
      <c r="D35" s="500"/>
      <c r="E35" s="500"/>
      <c r="F35" s="500"/>
      <c r="G35" s="500"/>
      <c r="H35" s="500"/>
      <c r="I35" s="500"/>
      <c r="J35" s="501"/>
    </row>
    <row r="36" spans="1:10" ht="14.1" customHeight="1" x14ac:dyDescent="0.2">
      <c r="A36" s="109" t="s">
        <v>501</v>
      </c>
      <c r="B36" s="499" t="s">
        <v>502</v>
      </c>
      <c r="C36" s="500"/>
      <c r="D36" s="500"/>
      <c r="E36" s="500"/>
      <c r="F36" s="500"/>
      <c r="G36" s="500"/>
      <c r="H36" s="500"/>
      <c r="I36" s="500"/>
      <c r="J36" s="501"/>
    </row>
    <row r="37" spans="1:10" ht="14.1" customHeight="1" x14ac:dyDescent="0.2">
      <c r="A37" s="109" t="s">
        <v>503</v>
      </c>
      <c r="B37" s="499" t="s">
        <v>504</v>
      </c>
      <c r="C37" s="500"/>
      <c r="D37" s="500"/>
      <c r="E37" s="500"/>
      <c r="F37" s="500"/>
      <c r="G37" s="500"/>
      <c r="H37" s="500"/>
      <c r="I37" s="500"/>
      <c r="J37" s="501"/>
    </row>
    <row r="38" spans="1:10" ht="14.1" customHeight="1" x14ac:dyDescent="0.2">
      <c r="A38" s="109" t="s">
        <v>505</v>
      </c>
      <c r="B38" s="499" t="s">
        <v>506</v>
      </c>
      <c r="C38" s="500"/>
      <c r="D38" s="500"/>
      <c r="E38" s="500"/>
      <c r="F38" s="500"/>
      <c r="G38" s="500"/>
      <c r="H38" s="500"/>
      <c r="I38" s="500"/>
      <c r="J38" s="501"/>
    </row>
    <row r="39" spans="1:10" ht="14.1" customHeight="1" x14ac:dyDescent="0.2">
      <c r="A39" s="109" t="s">
        <v>507</v>
      </c>
      <c r="B39" s="499" t="s">
        <v>508</v>
      </c>
      <c r="C39" s="500"/>
      <c r="D39" s="500"/>
      <c r="E39" s="500"/>
      <c r="F39" s="500"/>
      <c r="G39" s="500"/>
      <c r="H39" s="500"/>
      <c r="I39" s="500"/>
      <c r="J39" s="501"/>
    </row>
    <row r="40" spans="1:10" ht="14.1" customHeight="1" x14ac:dyDescent="0.2">
      <c r="A40" s="109" t="s">
        <v>509</v>
      </c>
      <c r="B40" s="499" t="s">
        <v>510</v>
      </c>
      <c r="C40" s="500"/>
      <c r="D40" s="500"/>
      <c r="E40" s="500"/>
      <c r="F40" s="500"/>
      <c r="G40" s="500"/>
      <c r="H40" s="500"/>
      <c r="I40" s="500"/>
      <c r="J40" s="501"/>
    </row>
    <row r="41" spans="1:10" ht="14.1" customHeight="1" x14ac:dyDescent="0.2">
      <c r="A41" s="109" t="s">
        <v>511</v>
      </c>
      <c r="B41" s="499" t="s">
        <v>512</v>
      </c>
      <c r="C41" s="500"/>
      <c r="D41" s="500"/>
      <c r="E41" s="500"/>
      <c r="F41" s="500"/>
      <c r="G41" s="500"/>
      <c r="H41" s="500"/>
      <c r="I41" s="500"/>
      <c r="J41" s="501"/>
    </row>
    <row r="42" spans="1:10" ht="14.1" customHeight="1" x14ac:dyDescent="0.2">
      <c r="A42" s="109" t="s">
        <v>513</v>
      </c>
      <c r="B42" s="499" t="s">
        <v>514</v>
      </c>
      <c r="C42" s="500"/>
      <c r="D42" s="500"/>
      <c r="E42" s="500"/>
      <c r="F42" s="500"/>
      <c r="G42" s="500"/>
      <c r="H42" s="500"/>
      <c r="I42" s="500"/>
      <c r="J42" s="501"/>
    </row>
    <row r="43" spans="1:10" ht="14.1" customHeight="1" x14ac:dyDescent="0.2">
      <c r="A43" s="109" t="s">
        <v>515</v>
      </c>
      <c r="B43" s="499" t="s">
        <v>516</v>
      </c>
      <c r="C43" s="500"/>
      <c r="D43" s="500"/>
      <c r="E43" s="500"/>
      <c r="F43" s="500"/>
      <c r="G43" s="500"/>
      <c r="H43" s="500"/>
      <c r="I43" s="500"/>
      <c r="J43" s="501"/>
    </row>
    <row r="44" spans="1:10" ht="14.1" customHeight="1" x14ac:dyDescent="0.2">
      <c r="A44" s="109" t="s">
        <v>517</v>
      </c>
      <c r="B44" s="499" t="s">
        <v>566</v>
      </c>
      <c r="C44" s="500"/>
      <c r="D44" s="500"/>
      <c r="E44" s="500"/>
      <c r="F44" s="500"/>
      <c r="G44" s="500"/>
      <c r="H44" s="500"/>
      <c r="I44" s="500"/>
      <c r="J44" s="501"/>
    </row>
    <row r="45" spans="1:10" ht="14.1" customHeight="1" x14ac:dyDescent="0.2">
      <c r="A45" s="109" t="s">
        <v>567</v>
      </c>
      <c r="B45" s="499" t="s">
        <v>568</v>
      </c>
      <c r="C45" s="500"/>
      <c r="D45" s="500"/>
      <c r="E45" s="500"/>
      <c r="F45" s="500"/>
      <c r="G45" s="500"/>
      <c r="H45" s="500"/>
      <c r="I45" s="500"/>
      <c r="J45" s="501"/>
    </row>
    <row r="46" spans="1:10" ht="14.1" customHeight="1" x14ac:dyDescent="0.2">
      <c r="A46" s="109" t="s">
        <v>569</v>
      </c>
      <c r="B46" s="499" t="s">
        <v>570</v>
      </c>
      <c r="C46" s="500"/>
      <c r="D46" s="500"/>
      <c r="E46" s="500"/>
      <c r="F46" s="500"/>
      <c r="G46" s="500"/>
      <c r="H46" s="500"/>
      <c r="I46" s="500"/>
      <c r="J46" s="501"/>
    </row>
    <row r="47" spans="1:10" ht="14.1" customHeight="1" x14ac:dyDescent="0.2">
      <c r="A47" s="109" t="s">
        <v>571</v>
      </c>
      <c r="B47" s="499" t="s">
        <v>572</v>
      </c>
      <c r="C47" s="500"/>
      <c r="D47" s="500"/>
      <c r="E47" s="500"/>
      <c r="F47" s="500"/>
      <c r="G47" s="500"/>
      <c r="H47" s="500"/>
      <c r="I47" s="500"/>
      <c r="J47" s="501"/>
    </row>
    <row r="48" spans="1:10" ht="14.1" customHeight="1" x14ac:dyDescent="0.2">
      <c r="A48" s="109" t="s">
        <v>573</v>
      </c>
      <c r="B48" s="499" t="s">
        <v>574</v>
      </c>
      <c r="C48" s="500"/>
      <c r="D48" s="500"/>
      <c r="E48" s="500"/>
      <c r="F48" s="500"/>
      <c r="G48" s="500"/>
      <c r="H48" s="500"/>
      <c r="I48" s="500"/>
      <c r="J48" s="501"/>
    </row>
    <row r="49" spans="1:10" ht="14.1" customHeight="1" x14ac:dyDescent="0.2">
      <c r="A49" s="109" t="s">
        <v>575</v>
      </c>
      <c r="B49" s="499" t="s">
        <v>576</v>
      </c>
      <c r="C49" s="500"/>
      <c r="D49" s="500"/>
      <c r="E49" s="500"/>
      <c r="F49" s="500"/>
      <c r="G49" s="500"/>
      <c r="H49" s="500"/>
      <c r="I49" s="500"/>
      <c r="J49" s="501"/>
    </row>
    <row r="50" spans="1:10" ht="14.1" customHeight="1" x14ac:dyDescent="0.2">
      <c r="A50" s="109" t="s">
        <v>577</v>
      </c>
      <c r="B50" s="499" t="s">
        <v>578</v>
      </c>
      <c r="C50" s="500"/>
      <c r="D50" s="500"/>
      <c r="E50" s="500"/>
      <c r="F50" s="500"/>
      <c r="G50" s="500"/>
      <c r="H50" s="500"/>
      <c r="I50" s="500"/>
      <c r="J50" s="501"/>
    </row>
    <row r="51" spans="1:10" ht="14.1" customHeight="1" x14ac:dyDescent="0.2">
      <c r="A51" s="109" t="s">
        <v>579</v>
      </c>
      <c r="B51" s="499" t="s">
        <v>580</v>
      </c>
      <c r="C51" s="500"/>
      <c r="D51" s="500"/>
      <c r="E51" s="500"/>
      <c r="F51" s="500"/>
      <c r="G51" s="500"/>
      <c r="H51" s="500"/>
      <c r="I51" s="500"/>
      <c r="J51" s="501"/>
    </row>
    <row r="52" spans="1:10" ht="14.1" customHeight="1" x14ac:dyDescent="0.2">
      <c r="A52" s="109" t="s">
        <v>581</v>
      </c>
      <c r="B52" s="499" t="s">
        <v>582</v>
      </c>
      <c r="C52" s="500"/>
      <c r="D52" s="500"/>
      <c r="E52" s="500"/>
      <c r="F52" s="500"/>
      <c r="G52" s="500"/>
      <c r="H52" s="500"/>
      <c r="I52" s="500"/>
      <c r="J52" s="501"/>
    </row>
    <row r="53" spans="1:10" ht="14.1" customHeight="1" x14ac:dyDescent="0.2">
      <c r="A53" s="109" t="s">
        <v>583</v>
      </c>
      <c r="B53" s="499" t="s">
        <v>584</v>
      </c>
      <c r="C53" s="500"/>
      <c r="D53" s="500"/>
      <c r="E53" s="500"/>
      <c r="F53" s="500"/>
      <c r="G53" s="500"/>
      <c r="H53" s="500"/>
      <c r="I53" s="500"/>
      <c r="J53" s="501"/>
    </row>
    <row r="54" spans="1:10" ht="14.1" customHeight="1" x14ac:dyDescent="0.2">
      <c r="A54" s="109" t="s">
        <v>1544</v>
      </c>
      <c r="B54" s="499" t="s">
        <v>1545</v>
      </c>
      <c r="C54" s="500"/>
      <c r="D54" s="500"/>
      <c r="E54" s="500"/>
      <c r="F54" s="500"/>
      <c r="G54" s="500"/>
      <c r="H54" s="500"/>
      <c r="I54" s="500"/>
      <c r="J54" s="501"/>
    </row>
    <row r="55" spans="1:10" ht="14.1" customHeight="1" x14ac:dyDescent="0.2">
      <c r="A55" s="109" t="s">
        <v>1546</v>
      </c>
      <c r="B55" s="499" t="s">
        <v>1547</v>
      </c>
      <c r="C55" s="500"/>
      <c r="D55" s="500"/>
      <c r="E55" s="500"/>
      <c r="F55" s="500"/>
      <c r="G55" s="500"/>
      <c r="H55" s="500"/>
      <c r="I55" s="500"/>
      <c r="J55" s="501"/>
    </row>
    <row r="56" spans="1:10" ht="14.1" customHeight="1" x14ac:dyDescent="0.2">
      <c r="A56" s="109" t="s">
        <v>1548</v>
      </c>
      <c r="B56" s="499" t="s">
        <v>1549</v>
      </c>
      <c r="C56" s="500"/>
      <c r="D56" s="500"/>
      <c r="E56" s="500"/>
      <c r="F56" s="500"/>
      <c r="G56" s="500"/>
      <c r="H56" s="500"/>
      <c r="I56" s="500"/>
      <c r="J56" s="501"/>
    </row>
    <row r="57" spans="1:10" ht="14.1" customHeight="1" x14ac:dyDescent="0.2">
      <c r="A57" s="109" t="s">
        <v>1550</v>
      </c>
      <c r="B57" s="499" t="s">
        <v>1551</v>
      </c>
      <c r="C57" s="500"/>
      <c r="D57" s="500"/>
      <c r="E57" s="500"/>
      <c r="F57" s="500"/>
      <c r="G57" s="500"/>
      <c r="H57" s="500"/>
      <c r="I57" s="500"/>
      <c r="J57" s="501"/>
    </row>
    <row r="58" spans="1:10" ht="14.1" customHeight="1" x14ac:dyDescent="0.2">
      <c r="A58" s="109" t="s">
        <v>1552</v>
      </c>
      <c r="B58" s="499" t="s">
        <v>1553</v>
      </c>
      <c r="C58" s="500"/>
      <c r="D58" s="500"/>
      <c r="E58" s="500"/>
      <c r="F58" s="500"/>
      <c r="G58" s="500"/>
      <c r="H58" s="500"/>
      <c r="I58" s="500"/>
      <c r="J58" s="501"/>
    </row>
    <row r="59" spans="1:10" ht="14.1" customHeight="1" x14ac:dyDescent="0.2">
      <c r="A59" s="109" t="s">
        <v>1554</v>
      </c>
      <c r="B59" s="499" t="s">
        <v>828</v>
      </c>
      <c r="C59" s="500"/>
      <c r="D59" s="500"/>
      <c r="E59" s="500"/>
      <c r="F59" s="500"/>
      <c r="G59" s="500"/>
      <c r="H59" s="500"/>
      <c r="I59" s="500"/>
      <c r="J59" s="501"/>
    </row>
    <row r="60" spans="1:10" ht="14.1" customHeight="1" x14ac:dyDescent="0.2">
      <c r="A60" s="109" t="s">
        <v>829</v>
      </c>
      <c r="B60" s="499" t="s">
        <v>830</v>
      </c>
      <c r="C60" s="500"/>
      <c r="D60" s="500"/>
      <c r="E60" s="500"/>
      <c r="F60" s="500"/>
      <c r="G60" s="500"/>
      <c r="H60" s="500"/>
      <c r="I60" s="500"/>
      <c r="J60" s="501"/>
    </row>
    <row r="61" spans="1:10" ht="14.1" customHeight="1" x14ac:dyDescent="0.2">
      <c r="A61" s="109" t="s">
        <v>831</v>
      </c>
      <c r="B61" s="499" t="s">
        <v>832</v>
      </c>
      <c r="C61" s="500"/>
      <c r="D61" s="500"/>
      <c r="E61" s="500"/>
      <c r="F61" s="500"/>
      <c r="G61" s="500"/>
      <c r="H61" s="500"/>
      <c r="I61" s="500"/>
      <c r="J61" s="501"/>
    </row>
    <row r="62" spans="1:10" ht="14.1" customHeight="1" x14ac:dyDescent="0.2">
      <c r="A62" s="109" t="s">
        <v>833</v>
      </c>
      <c r="B62" s="499" t="s">
        <v>834</v>
      </c>
      <c r="C62" s="500"/>
      <c r="D62" s="500"/>
      <c r="E62" s="500"/>
      <c r="F62" s="500"/>
      <c r="G62" s="500"/>
      <c r="H62" s="500"/>
      <c r="I62" s="500"/>
      <c r="J62" s="501"/>
    </row>
    <row r="63" spans="1:10" ht="14.1" customHeight="1" x14ac:dyDescent="0.2">
      <c r="A63" s="109" t="s">
        <v>835</v>
      </c>
      <c r="B63" s="499" t="s">
        <v>836</v>
      </c>
      <c r="C63" s="500"/>
      <c r="D63" s="500"/>
      <c r="E63" s="500"/>
      <c r="F63" s="500"/>
      <c r="G63" s="500"/>
      <c r="H63" s="500"/>
      <c r="I63" s="500"/>
      <c r="J63" s="501"/>
    </row>
    <row r="64" spans="1:10" ht="14.1" customHeight="1" x14ac:dyDescent="0.2">
      <c r="A64" s="109" t="s">
        <v>837</v>
      </c>
      <c r="B64" s="499" t="s">
        <v>838</v>
      </c>
      <c r="C64" s="500"/>
      <c r="D64" s="500"/>
      <c r="E64" s="500"/>
      <c r="F64" s="500"/>
      <c r="G64" s="500"/>
      <c r="H64" s="500"/>
      <c r="I64" s="500"/>
      <c r="J64" s="501"/>
    </row>
    <row r="65" spans="1:10" ht="14.1" customHeight="1" x14ac:dyDescent="0.2">
      <c r="A65" s="109" t="s">
        <v>839</v>
      </c>
      <c r="B65" s="499" t="s">
        <v>840</v>
      </c>
      <c r="C65" s="500"/>
      <c r="D65" s="500"/>
      <c r="E65" s="500"/>
      <c r="F65" s="500"/>
      <c r="G65" s="500"/>
      <c r="H65" s="500"/>
      <c r="I65" s="500"/>
      <c r="J65" s="501"/>
    </row>
    <row r="66" spans="1:10" ht="14.1" customHeight="1" x14ac:dyDescent="0.2">
      <c r="A66" s="109" t="s">
        <v>841</v>
      </c>
      <c r="B66" s="499" t="s">
        <v>842</v>
      </c>
      <c r="C66" s="500"/>
      <c r="D66" s="500"/>
      <c r="E66" s="500"/>
      <c r="F66" s="500"/>
      <c r="G66" s="500"/>
      <c r="H66" s="500"/>
      <c r="I66" s="500"/>
      <c r="J66" s="501"/>
    </row>
    <row r="67" spans="1:10" ht="14.1" customHeight="1" x14ac:dyDescent="0.2">
      <c r="A67" s="109" t="s">
        <v>843</v>
      </c>
      <c r="B67" s="499" t="s">
        <v>2462</v>
      </c>
      <c r="C67" s="500"/>
      <c r="D67" s="500"/>
      <c r="E67" s="500"/>
      <c r="F67" s="500"/>
      <c r="G67" s="500"/>
      <c r="H67" s="500"/>
      <c r="I67" s="500"/>
      <c r="J67" s="501"/>
    </row>
    <row r="68" spans="1:10" ht="14.1" customHeight="1" x14ac:dyDescent="0.2">
      <c r="A68" s="109" t="s">
        <v>2463</v>
      </c>
      <c r="B68" s="499" t="s">
        <v>2291</v>
      </c>
      <c r="C68" s="500"/>
      <c r="D68" s="500"/>
      <c r="E68" s="500"/>
      <c r="F68" s="500"/>
      <c r="G68" s="500"/>
      <c r="H68" s="500"/>
      <c r="I68" s="500"/>
      <c r="J68" s="501"/>
    </row>
    <row r="69" spans="1:10" ht="14.1" customHeight="1" x14ac:dyDescent="0.2">
      <c r="A69" s="109" t="s">
        <v>2292</v>
      </c>
      <c r="B69" s="499" t="s">
        <v>2293</v>
      </c>
      <c r="C69" s="500"/>
      <c r="D69" s="500"/>
      <c r="E69" s="500"/>
      <c r="F69" s="500"/>
      <c r="G69" s="500"/>
      <c r="H69" s="500"/>
      <c r="I69" s="500"/>
      <c r="J69" s="501"/>
    </row>
    <row r="70" spans="1:10" ht="14.1" customHeight="1" x14ac:dyDescent="0.2">
      <c r="A70" s="109" t="s">
        <v>2294</v>
      </c>
      <c r="B70" s="499" t="s">
        <v>2295</v>
      </c>
      <c r="C70" s="500"/>
      <c r="D70" s="500"/>
      <c r="E70" s="500"/>
      <c r="F70" s="500"/>
      <c r="G70" s="500"/>
      <c r="H70" s="500"/>
      <c r="I70" s="500"/>
      <c r="J70" s="501"/>
    </row>
    <row r="71" spans="1:10" ht="14.1" customHeight="1" x14ac:dyDescent="0.2">
      <c r="A71" s="109" t="s">
        <v>2296</v>
      </c>
      <c r="B71" s="499" t="s">
        <v>2270</v>
      </c>
      <c r="C71" s="500"/>
      <c r="D71" s="500"/>
      <c r="E71" s="500"/>
      <c r="F71" s="500"/>
      <c r="G71" s="500"/>
      <c r="H71" s="500"/>
      <c r="I71" s="500"/>
      <c r="J71" s="501"/>
    </row>
    <row r="72" spans="1:10" ht="14.1" customHeight="1" x14ac:dyDescent="0.2">
      <c r="A72" s="109" t="s">
        <v>2271</v>
      </c>
      <c r="B72" s="499" t="s">
        <v>2272</v>
      </c>
      <c r="C72" s="500"/>
      <c r="D72" s="500"/>
      <c r="E72" s="500"/>
      <c r="F72" s="500"/>
      <c r="G72" s="500"/>
      <c r="H72" s="500"/>
      <c r="I72" s="500"/>
      <c r="J72" s="501"/>
    </row>
    <row r="73" spans="1:10" ht="14.1" customHeight="1" x14ac:dyDescent="0.2">
      <c r="A73" s="109" t="s">
        <v>2273</v>
      </c>
      <c r="B73" s="499" t="s">
        <v>1656</v>
      </c>
      <c r="C73" s="500"/>
      <c r="D73" s="500"/>
      <c r="E73" s="500"/>
      <c r="F73" s="500"/>
      <c r="G73" s="500"/>
      <c r="H73" s="500"/>
      <c r="I73" s="500"/>
      <c r="J73" s="501"/>
    </row>
    <row r="74" spans="1:10" ht="14.1" customHeight="1" x14ac:dyDescent="0.2">
      <c r="A74" s="109" t="s">
        <v>1657</v>
      </c>
      <c r="B74" s="499" t="s">
        <v>1658</v>
      </c>
      <c r="C74" s="500"/>
      <c r="D74" s="500"/>
      <c r="E74" s="500"/>
      <c r="F74" s="500"/>
      <c r="G74" s="500"/>
      <c r="H74" s="500"/>
      <c r="I74" s="500"/>
      <c r="J74" s="501"/>
    </row>
    <row r="75" spans="1:10" ht="14.1" customHeight="1" x14ac:dyDescent="0.2">
      <c r="A75" s="109" t="s">
        <v>1659</v>
      </c>
      <c r="B75" s="499" t="s">
        <v>1660</v>
      </c>
      <c r="C75" s="500"/>
      <c r="D75" s="500"/>
      <c r="E75" s="500"/>
      <c r="F75" s="500"/>
      <c r="G75" s="500"/>
      <c r="H75" s="500"/>
      <c r="I75" s="500"/>
      <c r="J75" s="501"/>
    </row>
    <row r="76" spans="1:10" ht="14.1" customHeight="1" x14ac:dyDescent="0.2">
      <c r="A76" s="109" t="s">
        <v>1661</v>
      </c>
      <c r="B76" s="499" t="s">
        <v>1662</v>
      </c>
      <c r="C76" s="500"/>
      <c r="D76" s="500"/>
      <c r="E76" s="500"/>
      <c r="F76" s="500"/>
      <c r="G76" s="500"/>
      <c r="H76" s="500"/>
      <c r="I76" s="500"/>
      <c r="J76" s="501"/>
    </row>
    <row r="77" spans="1:10" ht="14.1" customHeight="1" x14ac:dyDescent="0.2">
      <c r="A77" s="109" t="s">
        <v>1663</v>
      </c>
      <c r="B77" s="499" t="s">
        <v>1664</v>
      </c>
      <c r="C77" s="500"/>
      <c r="D77" s="500"/>
      <c r="E77" s="500"/>
      <c r="F77" s="500"/>
      <c r="G77" s="500"/>
      <c r="H77" s="500"/>
      <c r="I77" s="500"/>
      <c r="J77" s="501"/>
    </row>
    <row r="78" spans="1:10" ht="14.1" customHeight="1" x14ac:dyDescent="0.2">
      <c r="A78" s="109" t="s">
        <v>1665</v>
      </c>
      <c r="B78" s="499" t="s">
        <v>1666</v>
      </c>
      <c r="C78" s="500"/>
      <c r="D78" s="500"/>
      <c r="E78" s="500"/>
      <c r="F78" s="500"/>
      <c r="G78" s="500"/>
      <c r="H78" s="500"/>
      <c r="I78" s="500"/>
      <c r="J78" s="501"/>
    </row>
    <row r="79" spans="1:10" ht="14.1" customHeight="1" x14ac:dyDescent="0.2">
      <c r="A79" s="109" t="s">
        <v>1667</v>
      </c>
      <c r="B79" s="499" t="s">
        <v>1668</v>
      </c>
      <c r="C79" s="500"/>
      <c r="D79" s="500"/>
      <c r="E79" s="500"/>
      <c r="F79" s="500"/>
      <c r="G79" s="500"/>
      <c r="H79" s="500"/>
      <c r="I79" s="500"/>
      <c r="J79" s="501"/>
    </row>
    <row r="80" spans="1:10" ht="14.1" customHeight="1" x14ac:dyDescent="0.2">
      <c r="A80" s="109" t="s">
        <v>731</v>
      </c>
      <c r="B80" s="499" t="s">
        <v>732</v>
      </c>
      <c r="C80" s="500"/>
      <c r="D80" s="500"/>
      <c r="E80" s="500"/>
      <c r="F80" s="500"/>
      <c r="G80" s="500"/>
      <c r="H80" s="500"/>
      <c r="I80" s="500"/>
      <c r="J80" s="501"/>
    </row>
    <row r="81" spans="1:10" ht="14.1" customHeight="1" x14ac:dyDescent="0.2">
      <c r="A81" s="109" t="s">
        <v>733</v>
      </c>
      <c r="B81" s="499" t="s">
        <v>734</v>
      </c>
      <c r="C81" s="500"/>
      <c r="D81" s="500"/>
      <c r="E81" s="500"/>
      <c r="F81" s="500"/>
      <c r="G81" s="500"/>
      <c r="H81" s="500"/>
      <c r="I81" s="500"/>
      <c r="J81" s="501"/>
    </row>
    <row r="82" spans="1:10" ht="14.1" customHeight="1" x14ac:dyDescent="0.2">
      <c r="A82" s="109" t="s">
        <v>735</v>
      </c>
      <c r="B82" s="499" t="s">
        <v>736</v>
      </c>
      <c r="C82" s="500"/>
      <c r="D82" s="500"/>
      <c r="E82" s="500"/>
      <c r="F82" s="500"/>
      <c r="G82" s="500"/>
      <c r="H82" s="500"/>
      <c r="I82" s="500"/>
      <c r="J82" s="501"/>
    </row>
    <row r="83" spans="1:10" ht="14.1" customHeight="1" x14ac:dyDescent="0.2">
      <c r="A83" s="109" t="s">
        <v>737</v>
      </c>
      <c r="B83" s="499" t="s">
        <v>738</v>
      </c>
      <c r="C83" s="500"/>
      <c r="D83" s="500"/>
      <c r="E83" s="500"/>
      <c r="F83" s="500"/>
      <c r="G83" s="500"/>
      <c r="H83" s="500"/>
      <c r="I83" s="500"/>
      <c r="J83" s="501"/>
    </row>
    <row r="84" spans="1:10" ht="14.1" customHeight="1" x14ac:dyDescent="0.2">
      <c r="A84" s="109" t="s">
        <v>739</v>
      </c>
      <c r="B84" s="499" t="s">
        <v>2542</v>
      </c>
      <c r="C84" s="500"/>
      <c r="D84" s="500"/>
      <c r="E84" s="500"/>
      <c r="F84" s="500"/>
      <c r="G84" s="500"/>
      <c r="H84" s="500"/>
      <c r="I84" s="500"/>
      <c r="J84" s="501"/>
    </row>
    <row r="85" spans="1:10" ht="14.1" customHeight="1" x14ac:dyDescent="0.2">
      <c r="A85" s="109" t="s">
        <v>2543</v>
      </c>
      <c r="B85" s="499" t="s">
        <v>2544</v>
      </c>
      <c r="C85" s="500"/>
      <c r="D85" s="500"/>
      <c r="E85" s="500"/>
      <c r="F85" s="500"/>
      <c r="G85" s="500"/>
      <c r="H85" s="500"/>
      <c r="I85" s="500"/>
      <c r="J85" s="501"/>
    </row>
    <row r="86" spans="1:10" ht="14.1" customHeight="1" x14ac:dyDescent="0.2">
      <c r="A86" s="109" t="s">
        <v>2545</v>
      </c>
      <c r="B86" s="499" t="s">
        <v>2546</v>
      </c>
      <c r="C86" s="500"/>
      <c r="D86" s="500"/>
      <c r="E86" s="500"/>
      <c r="F86" s="500"/>
      <c r="G86" s="500"/>
      <c r="H86" s="500"/>
      <c r="I86" s="500"/>
      <c r="J86" s="501"/>
    </row>
    <row r="87" spans="1:10" ht="14.1" customHeight="1" x14ac:dyDescent="0.2">
      <c r="A87" s="109" t="s">
        <v>2547</v>
      </c>
      <c r="B87" s="499" t="s">
        <v>2548</v>
      </c>
      <c r="C87" s="500"/>
      <c r="D87" s="500"/>
      <c r="E87" s="500"/>
      <c r="F87" s="500"/>
      <c r="G87" s="500"/>
      <c r="H87" s="500"/>
      <c r="I87" s="500"/>
      <c r="J87" s="501"/>
    </row>
    <row r="88" spans="1:10" ht="14.1" customHeight="1" x14ac:dyDescent="0.2">
      <c r="A88" s="109" t="s">
        <v>2549</v>
      </c>
      <c r="B88" s="499" t="s">
        <v>2550</v>
      </c>
      <c r="C88" s="500"/>
      <c r="D88" s="500"/>
      <c r="E88" s="500"/>
      <c r="F88" s="500"/>
      <c r="G88" s="500"/>
      <c r="H88" s="500"/>
      <c r="I88" s="500"/>
      <c r="J88" s="501"/>
    </row>
    <row r="89" spans="1:10" ht="14.1" customHeight="1" x14ac:dyDescent="0.2">
      <c r="A89" s="109" t="s">
        <v>2551</v>
      </c>
      <c r="B89" s="499" t="s">
        <v>2552</v>
      </c>
      <c r="C89" s="500"/>
      <c r="D89" s="500"/>
      <c r="E89" s="500"/>
      <c r="F89" s="500"/>
      <c r="G89" s="500"/>
      <c r="H89" s="500"/>
      <c r="I89" s="500"/>
      <c r="J89" s="501"/>
    </row>
    <row r="90" spans="1:10" ht="14.1" customHeight="1" x14ac:dyDescent="0.2">
      <c r="A90" s="109" t="s">
        <v>2553</v>
      </c>
      <c r="B90" s="499" t="s">
        <v>2554</v>
      </c>
      <c r="C90" s="500"/>
      <c r="D90" s="500"/>
      <c r="E90" s="500"/>
      <c r="F90" s="500"/>
      <c r="G90" s="500"/>
      <c r="H90" s="500"/>
      <c r="I90" s="500"/>
      <c r="J90" s="501"/>
    </row>
    <row r="91" spans="1:10" ht="14.1" customHeight="1" x14ac:dyDescent="0.2">
      <c r="A91" s="109" t="s">
        <v>2555</v>
      </c>
      <c r="B91" s="499" t="s">
        <v>2643</v>
      </c>
      <c r="C91" s="500"/>
      <c r="D91" s="500"/>
      <c r="E91" s="500"/>
      <c r="F91" s="500"/>
      <c r="G91" s="500"/>
      <c r="H91" s="500"/>
      <c r="I91" s="500"/>
      <c r="J91" s="501"/>
    </row>
    <row r="92" spans="1:10" ht="14.1" customHeight="1" x14ac:dyDescent="0.2">
      <c r="A92" s="109" t="s">
        <v>2644</v>
      </c>
      <c r="B92" s="499" t="s">
        <v>2645</v>
      </c>
      <c r="C92" s="500"/>
      <c r="D92" s="500"/>
      <c r="E92" s="500"/>
      <c r="F92" s="500"/>
      <c r="G92" s="500"/>
      <c r="H92" s="500"/>
      <c r="I92" s="500"/>
      <c r="J92" s="501"/>
    </row>
    <row r="93" spans="1:10" ht="14.1" customHeight="1" x14ac:dyDescent="0.2">
      <c r="A93" s="109" t="s">
        <v>2646</v>
      </c>
      <c r="B93" s="499" t="s">
        <v>2647</v>
      </c>
      <c r="C93" s="500"/>
      <c r="D93" s="500"/>
      <c r="E93" s="500"/>
      <c r="F93" s="500"/>
      <c r="G93" s="500"/>
      <c r="H93" s="500"/>
      <c r="I93" s="500"/>
      <c r="J93" s="501"/>
    </row>
    <row r="94" spans="1:10" ht="14.1" customHeight="1" x14ac:dyDescent="0.2">
      <c r="A94" s="109" t="s">
        <v>2648</v>
      </c>
      <c r="B94" s="499" t="s">
        <v>2649</v>
      </c>
      <c r="C94" s="500"/>
      <c r="D94" s="500"/>
      <c r="E94" s="500"/>
      <c r="F94" s="500"/>
      <c r="G94" s="500"/>
      <c r="H94" s="500"/>
      <c r="I94" s="500"/>
      <c r="J94" s="501"/>
    </row>
    <row r="95" spans="1:10" ht="14.1" customHeight="1" x14ac:dyDescent="0.2">
      <c r="A95" s="109" t="s">
        <v>2650</v>
      </c>
      <c r="B95" s="499" t="s">
        <v>2651</v>
      </c>
      <c r="C95" s="500"/>
      <c r="D95" s="500"/>
      <c r="E95" s="500"/>
      <c r="F95" s="500"/>
      <c r="G95" s="500"/>
      <c r="H95" s="500"/>
      <c r="I95" s="500"/>
      <c r="J95" s="501"/>
    </row>
    <row r="96" spans="1:10" ht="14.1" customHeight="1" x14ac:dyDescent="0.2">
      <c r="A96" s="109" t="s">
        <v>2652</v>
      </c>
      <c r="B96" s="499" t="s">
        <v>2653</v>
      </c>
      <c r="C96" s="500"/>
      <c r="D96" s="500"/>
      <c r="E96" s="500"/>
      <c r="F96" s="500"/>
      <c r="G96" s="500"/>
      <c r="H96" s="500"/>
      <c r="I96" s="500"/>
      <c r="J96" s="501"/>
    </row>
    <row r="97" spans="1:10" ht="14.1" customHeight="1" x14ac:dyDescent="0.2">
      <c r="A97" s="109" t="s">
        <v>2654</v>
      </c>
      <c r="B97" s="499" t="s">
        <v>2655</v>
      </c>
      <c r="C97" s="500"/>
      <c r="D97" s="500"/>
      <c r="E97" s="500"/>
      <c r="F97" s="500"/>
      <c r="G97" s="500"/>
      <c r="H97" s="500"/>
      <c r="I97" s="500"/>
      <c r="J97" s="501"/>
    </row>
    <row r="98" spans="1:10" ht="14.1" customHeight="1" x14ac:dyDescent="0.2">
      <c r="A98" s="109" t="s">
        <v>2656</v>
      </c>
      <c r="B98" s="499" t="s">
        <v>2657</v>
      </c>
      <c r="C98" s="500"/>
      <c r="D98" s="500"/>
      <c r="E98" s="500"/>
      <c r="F98" s="500"/>
      <c r="G98" s="500"/>
      <c r="H98" s="500"/>
      <c r="I98" s="500"/>
      <c r="J98" s="501"/>
    </row>
    <row r="99" spans="1:10" ht="14.1" customHeight="1" x14ac:dyDescent="0.2">
      <c r="A99" s="109" t="s">
        <v>2658</v>
      </c>
      <c r="B99" s="499" t="s">
        <v>2659</v>
      </c>
      <c r="C99" s="500"/>
      <c r="D99" s="500"/>
      <c r="E99" s="500"/>
      <c r="F99" s="500"/>
      <c r="G99" s="500"/>
      <c r="H99" s="500"/>
      <c r="I99" s="500"/>
      <c r="J99" s="501"/>
    </row>
    <row r="100" spans="1:10" ht="14.1" customHeight="1" x14ac:dyDescent="0.2">
      <c r="A100" s="109" t="s">
        <v>2660</v>
      </c>
      <c r="B100" s="499" t="s">
        <v>2661</v>
      </c>
      <c r="C100" s="500"/>
      <c r="D100" s="500"/>
      <c r="E100" s="500"/>
      <c r="F100" s="500"/>
      <c r="G100" s="500"/>
      <c r="H100" s="500"/>
      <c r="I100" s="500"/>
      <c r="J100" s="501"/>
    </row>
    <row r="101" spans="1:10" ht="14.1" customHeight="1" x14ac:dyDescent="0.2">
      <c r="A101" s="109" t="s">
        <v>2662</v>
      </c>
      <c r="B101" s="499" t="s">
        <v>2663</v>
      </c>
      <c r="C101" s="500"/>
      <c r="D101" s="500"/>
      <c r="E101" s="500"/>
      <c r="F101" s="500"/>
      <c r="G101" s="500"/>
      <c r="H101" s="500"/>
      <c r="I101" s="500"/>
      <c r="J101" s="501"/>
    </row>
    <row r="102" spans="1:10" ht="14.1" customHeight="1" x14ac:dyDescent="0.2">
      <c r="A102" s="109" t="s">
        <v>2664</v>
      </c>
      <c r="B102" s="499" t="s">
        <v>2665</v>
      </c>
      <c r="C102" s="500"/>
      <c r="D102" s="500"/>
      <c r="E102" s="500"/>
      <c r="F102" s="500"/>
      <c r="G102" s="500"/>
      <c r="H102" s="500"/>
      <c r="I102" s="500"/>
      <c r="J102" s="501"/>
    </row>
    <row r="103" spans="1:10" ht="14.1" customHeight="1" x14ac:dyDescent="0.2">
      <c r="A103" s="109" t="s">
        <v>2666</v>
      </c>
      <c r="B103" s="499" t="s">
        <v>2667</v>
      </c>
      <c r="C103" s="500"/>
      <c r="D103" s="500"/>
      <c r="E103" s="500"/>
      <c r="F103" s="500"/>
      <c r="G103" s="500"/>
      <c r="H103" s="500"/>
      <c r="I103" s="500"/>
      <c r="J103" s="501"/>
    </row>
    <row r="104" spans="1:10" ht="14.1" customHeight="1" x14ac:dyDescent="0.2">
      <c r="A104" s="109" t="s">
        <v>2668</v>
      </c>
      <c r="B104" s="499" t="s">
        <v>2669</v>
      </c>
      <c r="C104" s="500"/>
      <c r="D104" s="500"/>
      <c r="E104" s="500"/>
      <c r="F104" s="500"/>
      <c r="G104" s="500"/>
      <c r="H104" s="500"/>
      <c r="I104" s="500"/>
      <c r="J104" s="501"/>
    </row>
    <row r="105" spans="1:10" ht="14.1" customHeight="1" x14ac:dyDescent="0.2">
      <c r="A105" s="109" t="s">
        <v>2670</v>
      </c>
      <c r="B105" s="499" t="s">
        <v>2671</v>
      </c>
      <c r="C105" s="500"/>
      <c r="D105" s="500"/>
      <c r="E105" s="500"/>
      <c r="F105" s="500"/>
      <c r="G105" s="500"/>
      <c r="H105" s="500"/>
      <c r="I105" s="500"/>
      <c r="J105" s="501"/>
    </row>
    <row r="106" spans="1:10" ht="14.1" customHeight="1" x14ac:dyDescent="0.2">
      <c r="A106" s="109" t="s">
        <v>2672</v>
      </c>
      <c r="B106" s="499" t="s">
        <v>2673</v>
      </c>
      <c r="C106" s="500"/>
      <c r="D106" s="500"/>
      <c r="E106" s="500"/>
      <c r="F106" s="500"/>
      <c r="G106" s="500"/>
      <c r="H106" s="500"/>
      <c r="I106" s="500"/>
      <c r="J106" s="501"/>
    </row>
    <row r="107" spans="1:10" ht="14.1" customHeight="1" x14ac:dyDescent="0.2">
      <c r="A107" s="109" t="s">
        <v>2674</v>
      </c>
      <c r="B107" s="499" t="s">
        <v>2675</v>
      </c>
      <c r="C107" s="500"/>
      <c r="D107" s="500"/>
      <c r="E107" s="500"/>
      <c r="F107" s="500"/>
      <c r="G107" s="500"/>
      <c r="H107" s="500"/>
      <c r="I107" s="500"/>
      <c r="J107" s="501"/>
    </row>
    <row r="108" spans="1:10" ht="14.1" customHeight="1" x14ac:dyDescent="0.2">
      <c r="A108" s="109" t="s">
        <v>2676</v>
      </c>
      <c r="B108" s="499" t="s">
        <v>2677</v>
      </c>
      <c r="C108" s="500"/>
      <c r="D108" s="500"/>
      <c r="E108" s="500"/>
      <c r="F108" s="500"/>
      <c r="G108" s="500"/>
      <c r="H108" s="500"/>
      <c r="I108" s="500"/>
      <c r="J108" s="501"/>
    </row>
    <row r="109" spans="1:10" ht="14.1" customHeight="1" x14ac:dyDescent="0.2">
      <c r="A109" s="109" t="s">
        <v>2678</v>
      </c>
      <c r="B109" s="499" t="s">
        <v>2679</v>
      </c>
      <c r="C109" s="500"/>
      <c r="D109" s="500"/>
      <c r="E109" s="500"/>
      <c r="F109" s="500"/>
      <c r="G109" s="500"/>
      <c r="H109" s="500"/>
      <c r="I109" s="500"/>
      <c r="J109" s="501"/>
    </row>
    <row r="110" spans="1:10" ht="14.1" customHeight="1" x14ac:dyDescent="0.2">
      <c r="A110" s="109" t="s">
        <v>2680</v>
      </c>
      <c r="B110" s="499" t="s">
        <v>2681</v>
      </c>
      <c r="C110" s="500"/>
      <c r="D110" s="500"/>
      <c r="E110" s="500"/>
      <c r="F110" s="500"/>
      <c r="G110" s="500"/>
      <c r="H110" s="500"/>
      <c r="I110" s="500"/>
      <c r="J110" s="501"/>
    </row>
    <row r="111" spans="1:10" ht="14.1" customHeight="1" x14ac:dyDescent="0.2">
      <c r="A111" s="109" t="s">
        <v>2682</v>
      </c>
      <c r="B111" s="499" t="s">
        <v>2683</v>
      </c>
      <c r="C111" s="500"/>
      <c r="D111" s="500"/>
      <c r="E111" s="500"/>
      <c r="F111" s="500"/>
      <c r="G111" s="500"/>
      <c r="H111" s="500"/>
      <c r="I111" s="500"/>
      <c r="J111" s="501"/>
    </row>
    <row r="112" spans="1:10" ht="14.1" customHeight="1" x14ac:dyDescent="0.2">
      <c r="A112" s="109" t="s">
        <v>35</v>
      </c>
      <c r="B112" s="499" t="s">
        <v>36</v>
      </c>
      <c r="C112" s="500"/>
      <c r="D112" s="500"/>
      <c r="E112" s="500"/>
      <c r="F112" s="500"/>
      <c r="G112" s="500"/>
      <c r="H112" s="500"/>
      <c r="I112" s="500"/>
      <c r="J112" s="501"/>
    </row>
    <row r="113" spans="1:10" ht="14.1" customHeight="1" x14ac:dyDescent="0.2">
      <c r="A113" s="109" t="s">
        <v>37</v>
      </c>
      <c r="B113" s="499" t="s">
        <v>1818</v>
      </c>
      <c r="C113" s="500"/>
      <c r="D113" s="500"/>
      <c r="E113" s="500"/>
      <c r="F113" s="500"/>
      <c r="G113" s="500"/>
      <c r="H113" s="500"/>
      <c r="I113" s="500"/>
      <c r="J113" s="501"/>
    </row>
    <row r="114" spans="1:10" ht="14.1" customHeight="1" x14ac:dyDescent="0.2">
      <c r="A114" s="109" t="s">
        <v>1819</v>
      </c>
      <c r="B114" s="499" t="s">
        <v>1820</v>
      </c>
      <c r="C114" s="500"/>
      <c r="D114" s="500"/>
      <c r="E114" s="500"/>
      <c r="F114" s="500"/>
      <c r="G114" s="500"/>
      <c r="H114" s="500"/>
      <c r="I114" s="500"/>
      <c r="J114" s="501"/>
    </row>
    <row r="115" spans="1:10" ht="14.1" customHeight="1" x14ac:dyDescent="0.2">
      <c r="A115" s="109" t="s">
        <v>1821</v>
      </c>
      <c r="B115" s="499" t="s">
        <v>2105</v>
      </c>
      <c r="C115" s="500"/>
      <c r="D115" s="500"/>
      <c r="E115" s="500"/>
      <c r="F115" s="500"/>
      <c r="G115" s="500"/>
      <c r="H115" s="500"/>
      <c r="I115" s="500"/>
      <c r="J115" s="501"/>
    </row>
    <row r="116" spans="1:10" ht="14.1" customHeight="1" x14ac:dyDescent="0.2">
      <c r="A116" s="109" t="s">
        <v>2106</v>
      </c>
      <c r="B116" s="499" t="s">
        <v>2107</v>
      </c>
      <c r="C116" s="500"/>
      <c r="D116" s="500"/>
      <c r="E116" s="500"/>
      <c r="F116" s="500"/>
      <c r="G116" s="500"/>
      <c r="H116" s="500"/>
      <c r="I116" s="500"/>
      <c r="J116" s="501"/>
    </row>
    <row r="117" spans="1:10" ht="14.1" customHeight="1" x14ac:dyDescent="0.2">
      <c r="A117" s="109" t="s">
        <v>2108</v>
      </c>
      <c r="B117" s="499" t="s">
        <v>2109</v>
      </c>
      <c r="C117" s="500"/>
      <c r="D117" s="500"/>
      <c r="E117" s="500"/>
      <c r="F117" s="500"/>
      <c r="G117" s="500"/>
      <c r="H117" s="500"/>
      <c r="I117" s="500"/>
      <c r="J117" s="501"/>
    </row>
    <row r="118" spans="1:10" ht="14.1" customHeight="1" x14ac:dyDescent="0.2">
      <c r="A118" s="109" t="s">
        <v>2110</v>
      </c>
      <c r="B118" s="499" t="s">
        <v>2111</v>
      </c>
      <c r="C118" s="500"/>
      <c r="D118" s="500"/>
      <c r="E118" s="500"/>
      <c r="F118" s="500"/>
      <c r="G118" s="500"/>
      <c r="H118" s="500"/>
      <c r="I118" s="500"/>
      <c r="J118" s="501"/>
    </row>
    <row r="119" spans="1:10" ht="14.1" customHeight="1" x14ac:dyDescent="0.2">
      <c r="A119" s="109" t="s">
        <v>2112</v>
      </c>
      <c r="B119" s="499" t="s">
        <v>2113</v>
      </c>
      <c r="C119" s="500"/>
      <c r="D119" s="500"/>
      <c r="E119" s="500"/>
      <c r="F119" s="500"/>
      <c r="G119" s="500"/>
      <c r="H119" s="500"/>
      <c r="I119" s="500"/>
      <c r="J119" s="501"/>
    </row>
    <row r="120" spans="1:10" ht="14.1" customHeight="1" x14ac:dyDescent="0.2">
      <c r="A120" s="109" t="s">
        <v>2114</v>
      </c>
      <c r="B120" s="499" t="s">
        <v>346</v>
      </c>
      <c r="C120" s="500"/>
      <c r="D120" s="500"/>
      <c r="E120" s="500"/>
      <c r="F120" s="500"/>
      <c r="G120" s="500"/>
      <c r="H120" s="500"/>
      <c r="I120" s="500"/>
      <c r="J120" s="501"/>
    </row>
    <row r="121" spans="1:10" ht="14.1" customHeight="1" x14ac:dyDescent="0.2">
      <c r="A121" s="109" t="s">
        <v>347</v>
      </c>
      <c r="B121" s="499" t="s">
        <v>348</v>
      </c>
      <c r="C121" s="500"/>
      <c r="D121" s="500"/>
      <c r="E121" s="500"/>
      <c r="F121" s="500"/>
      <c r="G121" s="500"/>
      <c r="H121" s="500"/>
      <c r="I121" s="500"/>
      <c r="J121" s="501"/>
    </row>
    <row r="122" spans="1:10" ht="14.1" customHeight="1" x14ac:dyDescent="0.2">
      <c r="A122" s="109" t="s">
        <v>349</v>
      </c>
      <c r="B122" s="499" t="s">
        <v>350</v>
      </c>
      <c r="C122" s="500"/>
      <c r="D122" s="500"/>
      <c r="E122" s="500"/>
      <c r="F122" s="500"/>
      <c r="G122" s="500"/>
      <c r="H122" s="500"/>
      <c r="I122" s="500"/>
      <c r="J122" s="501"/>
    </row>
    <row r="123" spans="1:10" ht="14.1" customHeight="1" x14ac:dyDescent="0.2">
      <c r="A123" s="109" t="s">
        <v>351</v>
      </c>
      <c r="B123" s="499" t="s">
        <v>352</v>
      </c>
      <c r="C123" s="500"/>
      <c r="D123" s="500"/>
      <c r="E123" s="500"/>
      <c r="F123" s="500"/>
      <c r="G123" s="500"/>
      <c r="H123" s="500"/>
      <c r="I123" s="500"/>
      <c r="J123" s="501"/>
    </row>
    <row r="124" spans="1:10" ht="14.1" customHeight="1" x14ac:dyDescent="0.2">
      <c r="A124" s="109" t="s">
        <v>353</v>
      </c>
      <c r="B124" s="499" t="s">
        <v>354</v>
      </c>
      <c r="C124" s="500"/>
      <c r="D124" s="500"/>
      <c r="E124" s="500"/>
      <c r="F124" s="500"/>
      <c r="G124" s="500"/>
      <c r="H124" s="500"/>
      <c r="I124" s="500"/>
      <c r="J124" s="501"/>
    </row>
    <row r="125" spans="1:10" ht="14.1" customHeight="1" x14ac:dyDescent="0.2">
      <c r="A125" s="109" t="s">
        <v>355</v>
      </c>
      <c r="B125" s="499" t="s">
        <v>356</v>
      </c>
      <c r="C125" s="500"/>
      <c r="D125" s="500"/>
      <c r="E125" s="500"/>
      <c r="F125" s="500"/>
      <c r="G125" s="500"/>
      <c r="H125" s="500"/>
      <c r="I125" s="500"/>
      <c r="J125" s="501"/>
    </row>
    <row r="126" spans="1:10" ht="14.1" customHeight="1" x14ac:dyDescent="0.2">
      <c r="A126" s="109" t="s">
        <v>357</v>
      </c>
      <c r="B126" s="499" t="s">
        <v>358</v>
      </c>
      <c r="C126" s="500"/>
      <c r="D126" s="500"/>
      <c r="E126" s="500"/>
      <c r="F126" s="500"/>
      <c r="G126" s="500"/>
      <c r="H126" s="500"/>
      <c r="I126" s="500"/>
      <c r="J126" s="501"/>
    </row>
    <row r="127" spans="1:10" ht="14.1" customHeight="1" x14ac:dyDescent="0.2">
      <c r="A127" s="109" t="s">
        <v>359</v>
      </c>
      <c r="B127" s="499" t="s">
        <v>360</v>
      </c>
      <c r="C127" s="500"/>
      <c r="D127" s="500"/>
      <c r="E127" s="500"/>
      <c r="F127" s="500"/>
      <c r="G127" s="500"/>
      <c r="H127" s="500"/>
      <c r="I127" s="500"/>
      <c r="J127" s="501"/>
    </row>
    <row r="128" spans="1:10" ht="14.1" customHeight="1" x14ac:dyDescent="0.2">
      <c r="A128" s="109" t="s">
        <v>361</v>
      </c>
      <c r="B128" s="499" t="s">
        <v>362</v>
      </c>
      <c r="C128" s="500"/>
      <c r="D128" s="500"/>
      <c r="E128" s="500"/>
      <c r="F128" s="500"/>
      <c r="G128" s="500"/>
      <c r="H128" s="500"/>
      <c r="I128" s="500"/>
      <c r="J128" s="501"/>
    </row>
    <row r="129" spans="1:10" ht="14.1" customHeight="1" x14ac:dyDescent="0.2">
      <c r="A129" s="109" t="s">
        <v>363</v>
      </c>
      <c r="B129" s="499" t="s">
        <v>986</v>
      </c>
      <c r="C129" s="500"/>
      <c r="D129" s="500"/>
      <c r="E129" s="500"/>
      <c r="F129" s="500"/>
      <c r="G129" s="500"/>
      <c r="H129" s="500"/>
      <c r="I129" s="500"/>
      <c r="J129" s="501"/>
    </row>
    <row r="130" spans="1:10" ht="14.1" customHeight="1" x14ac:dyDescent="0.2">
      <c r="A130" s="109" t="s">
        <v>987</v>
      </c>
      <c r="B130" s="499" t="s">
        <v>988</v>
      </c>
      <c r="C130" s="500"/>
      <c r="D130" s="500"/>
      <c r="E130" s="500"/>
      <c r="F130" s="500"/>
      <c r="G130" s="500"/>
      <c r="H130" s="500"/>
      <c r="I130" s="500"/>
      <c r="J130" s="501"/>
    </row>
    <row r="131" spans="1:10" ht="14.1" customHeight="1" x14ac:dyDescent="0.2">
      <c r="A131" s="109" t="s">
        <v>989</v>
      </c>
      <c r="B131" s="499" t="s">
        <v>990</v>
      </c>
      <c r="C131" s="500"/>
      <c r="D131" s="500"/>
      <c r="E131" s="500"/>
      <c r="F131" s="500"/>
      <c r="G131" s="500"/>
      <c r="H131" s="500"/>
      <c r="I131" s="500"/>
      <c r="J131" s="501"/>
    </row>
    <row r="132" spans="1:10" ht="14.1" customHeight="1" x14ac:dyDescent="0.2">
      <c r="A132" s="109" t="s">
        <v>991</v>
      </c>
      <c r="B132" s="499" t="s">
        <v>992</v>
      </c>
      <c r="C132" s="500"/>
      <c r="D132" s="500"/>
      <c r="E132" s="500"/>
      <c r="F132" s="500"/>
      <c r="G132" s="500"/>
      <c r="H132" s="500"/>
      <c r="I132" s="500"/>
      <c r="J132" s="501"/>
    </row>
    <row r="133" spans="1:10" ht="14.1" customHeight="1" x14ac:dyDescent="0.2">
      <c r="A133" s="109" t="s">
        <v>993</v>
      </c>
      <c r="B133" s="499" t="s">
        <v>994</v>
      </c>
      <c r="C133" s="500"/>
      <c r="D133" s="500"/>
      <c r="E133" s="500"/>
      <c r="F133" s="500"/>
      <c r="G133" s="500"/>
      <c r="H133" s="500"/>
      <c r="I133" s="500"/>
      <c r="J133" s="501"/>
    </row>
    <row r="134" spans="1:10" ht="14.1" customHeight="1" x14ac:dyDescent="0.2">
      <c r="A134" s="109" t="s">
        <v>995</v>
      </c>
      <c r="B134" s="499" t="s">
        <v>996</v>
      </c>
      <c r="C134" s="500"/>
      <c r="D134" s="500"/>
      <c r="E134" s="500"/>
      <c r="F134" s="500"/>
      <c r="G134" s="500"/>
      <c r="H134" s="500"/>
      <c r="I134" s="500"/>
      <c r="J134" s="501"/>
    </row>
    <row r="135" spans="1:10" ht="14.1" customHeight="1" x14ac:dyDescent="0.2">
      <c r="A135" s="109" t="s">
        <v>997</v>
      </c>
      <c r="B135" s="499" t="s">
        <v>998</v>
      </c>
      <c r="C135" s="500"/>
      <c r="D135" s="500"/>
      <c r="E135" s="500"/>
      <c r="F135" s="500"/>
      <c r="G135" s="500"/>
      <c r="H135" s="500"/>
      <c r="I135" s="500"/>
      <c r="J135" s="501"/>
    </row>
    <row r="136" spans="1:10" ht="14.1" customHeight="1" x14ac:dyDescent="0.2">
      <c r="A136" s="109" t="s">
        <v>999</v>
      </c>
      <c r="B136" s="499" t="s">
        <v>1000</v>
      </c>
      <c r="C136" s="500"/>
      <c r="D136" s="500"/>
      <c r="E136" s="500"/>
      <c r="F136" s="500"/>
      <c r="G136" s="500"/>
      <c r="H136" s="500"/>
      <c r="I136" s="500"/>
      <c r="J136" s="501"/>
    </row>
    <row r="137" spans="1:10" ht="14.1" customHeight="1" x14ac:dyDescent="0.2">
      <c r="A137" s="109" t="s">
        <v>1001</v>
      </c>
      <c r="B137" s="499" t="s">
        <v>1002</v>
      </c>
      <c r="C137" s="500"/>
      <c r="D137" s="500"/>
      <c r="E137" s="500"/>
      <c r="F137" s="500"/>
      <c r="G137" s="500"/>
      <c r="H137" s="500"/>
      <c r="I137" s="500"/>
      <c r="J137" s="501"/>
    </row>
    <row r="138" spans="1:10" ht="14.1" customHeight="1" x14ac:dyDescent="0.2">
      <c r="A138" s="109" t="s">
        <v>1003</v>
      </c>
      <c r="B138" s="499" t="s">
        <v>1004</v>
      </c>
      <c r="C138" s="500"/>
      <c r="D138" s="500"/>
      <c r="E138" s="500"/>
      <c r="F138" s="500"/>
      <c r="G138" s="500"/>
      <c r="H138" s="500"/>
      <c r="I138" s="500"/>
      <c r="J138" s="501"/>
    </row>
    <row r="139" spans="1:10" ht="14.1" customHeight="1" x14ac:dyDescent="0.2">
      <c r="A139" s="109" t="s">
        <v>1005</v>
      </c>
      <c r="B139" s="499" t="s">
        <v>1006</v>
      </c>
      <c r="C139" s="500"/>
      <c r="D139" s="500"/>
      <c r="E139" s="500"/>
      <c r="F139" s="500"/>
      <c r="G139" s="500"/>
      <c r="H139" s="500"/>
      <c r="I139" s="500"/>
      <c r="J139" s="501"/>
    </row>
    <row r="140" spans="1:10" ht="14.1" customHeight="1" x14ac:dyDescent="0.2">
      <c r="A140" s="109" t="s">
        <v>1007</v>
      </c>
      <c r="B140" s="499" t="s">
        <v>89</v>
      </c>
      <c r="C140" s="500"/>
      <c r="D140" s="500"/>
      <c r="E140" s="500"/>
      <c r="F140" s="500"/>
      <c r="G140" s="500"/>
      <c r="H140" s="500"/>
      <c r="I140" s="500"/>
      <c r="J140" s="501"/>
    </row>
    <row r="141" spans="1:10" ht="14.1" customHeight="1" x14ac:dyDescent="0.2">
      <c r="A141" s="109" t="s">
        <v>90</v>
      </c>
      <c r="B141" s="499" t="s">
        <v>91</v>
      </c>
      <c r="C141" s="500"/>
      <c r="D141" s="500"/>
      <c r="E141" s="500"/>
      <c r="F141" s="500"/>
      <c r="G141" s="500"/>
      <c r="H141" s="500"/>
      <c r="I141" s="500"/>
      <c r="J141" s="501"/>
    </row>
    <row r="142" spans="1:10" ht="14.1" customHeight="1" x14ac:dyDescent="0.2">
      <c r="A142" s="109" t="s">
        <v>92</v>
      </c>
      <c r="B142" s="499" t="s">
        <v>93</v>
      </c>
      <c r="C142" s="500"/>
      <c r="D142" s="500"/>
      <c r="E142" s="500"/>
      <c r="F142" s="500"/>
      <c r="G142" s="500"/>
      <c r="H142" s="500"/>
      <c r="I142" s="500"/>
      <c r="J142" s="501"/>
    </row>
    <row r="143" spans="1:10" ht="14.1" customHeight="1" x14ac:dyDescent="0.2">
      <c r="A143" s="109" t="s">
        <v>94</v>
      </c>
      <c r="B143" s="499" t="s">
        <v>2222</v>
      </c>
      <c r="C143" s="500"/>
      <c r="D143" s="500"/>
      <c r="E143" s="500"/>
      <c r="F143" s="500"/>
      <c r="G143" s="500"/>
      <c r="H143" s="500"/>
      <c r="I143" s="500"/>
      <c r="J143" s="501"/>
    </row>
    <row r="144" spans="1:10" ht="14.1" customHeight="1" x14ac:dyDescent="0.2">
      <c r="A144" s="109" t="s">
        <v>2223</v>
      </c>
      <c r="B144" s="499" t="s">
        <v>2224</v>
      </c>
      <c r="C144" s="500"/>
      <c r="D144" s="500"/>
      <c r="E144" s="500"/>
      <c r="F144" s="500"/>
      <c r="G144" s="500"/>
      <c r="H144" s="500"/>
      <c r="I144" s="500"/>
      <c r="J144" s="501"/>
    </row>
    <row r="145" spans="1:10" ht="14.1" customHeight="1" x14ac:dyDescent="0.2">
      <c r="A145" s="109" t="s">
        <v>2225</v>
      </c>
      <c r="B145" s="499" t="s">
        <v>2226</v>
      </c>
      <c r="C145" s="500"/>
      <c r="D145" s="500"/>
      <c r="E145" s="500"/>
      <c r="F145" s="500"/>
      <c r="G145" s="500"/>
      <c r="H145" s="500"/>
      <c r="I145" s="500"/>
      <c r="J145" s="501"/>
    </row>
    <row r="146" spans="1:10" ht="14.1" customHeight="1" x14ac:dyDescent="0.2">
      <c r="A146" s="109" t="s">
        <v>2227</v>
      </c>
      <c r="B146" s="499" t="s">
        <v>2228</v>
      </c>
      <c r="C146" s="500"/>
      <c r="D146" s="500"/>
      <c r="E146" s="500"/>
      <c r="F146" s="500"/>
      <c r="G146" s="500"/>
      <c r="H146" s="500"/>
      <c r="I146" s="500"/>
      <c r="J146" s="501"/>
    </row>
    <row r="147" spans="1:10" ht="14.1" customHeight="1" x14ac:dyDescent="0.2">
      <c r="A147" s="109" t="s">
        <v>2229</v>
      </c>
      <c r="B147" s="499" t="s">
        <v>2230</v>
      </c>
      <c r="C147" s="500"/>
      <c r="D147" s="500"/>
      <c r="E147" s="500"/>
      <c r="F147" s="500"/>
      <c r="G147" s="500"/>
      <c r="H147" s="500"/>
      <c r="I147" s="500"/>
      <c r="J147" s="501"/>
    </row>
    <row r="148" spans="1:10" ht="14.1" customHeight="1" x14ac:dyDescent="0.2">
      <c r="A148" s="109" t="s">
        <v>2231</v>
      </c>
      <c r="B148" s="499" t="s">
        <v>2232</v>
      </c>
      <c r="C148" s="500"/>
      <c r="D148" s="500"/>
      <c r="E148" s="500"/>
      <c r="F148" s="500"/>
      <c r="G148" s="500"/>
      <c r="H148" s="500"/>
      <c r="I148" s="500"/>
      <c r="J148" s="501"/>
    </row>
    <row r="149" spans="1:10" ht="14.1" customHeight="1" x14ac:dyDescent="0.2">
      <c r="A149" s="109" t="s">
        <v>2233</v>
      </c>
      <c r="B149" s="499" t="s">
        <v>2234</v>
      </c>
      <c r="C149" s="500"/>
      <c r="D149" s="500"/>
      <c r="E149" s="500"/>
      <c r="F149" s="500"/>
      <c r="G149" s="500"/>
      <c r="H149" s="500"/>
      <c r="I149" s="500"/>
      <c r="J149" s="501"/>
    </row>
    <row r="150" spans="1:10" ht="14.1" customHeight="1" x14ac:dyDescent="0.2">
      <c r="A150" s="109" t="s">
        <v>2235</v>
      </c>
      <c r="B150" s="499" t="s">
        <v>2236</v>
      </c>
      <c r="C150" s="500"/>
      <c r="D150" s="500"/>
      <c r="E150" s="500"/>
      <c r="F150" s="500"/>
      <c r="G150" s="500"/>
      <c r="H150" s="500"/>
      <c r="I150" s="500"/>
      <c r="J150" s="501"/>
    </row>
    <row r="151" spans="1:10" ht="14.1" customHeight="1" x14ac:dyDescent="0.2">
      <c r="A151" s="109" t="s">
        <v>2237</v>
      </c>
      <c r="B151" s="499" t="s">
        <v>2238</v>
      </c>
      <c r="C151" s="500"/>
      <c r="D151" s="500"/>
      <c r="E151" s="500"/>
      <c r="F151" s="500"/>
      <c r="G151" s="500"/>
      <c r="H151" s="500"/>
      <c r="I151" s="500"/>
      <c r="J151" s="501"/>
    </row>
    <row r="152" spans="1:10" ht="14.1" customHeight="1" x14ac:dyDescent="0.2">
      <c r="A152" s="109" t="s">
        <v>2239</v>
      </c>
      <c r="B152" s="499" t="s">
        <v>2240</v>
      </c>
      <c r="C152" s="500"/>
      <c r="D152" s="500"/>
      <c r="E152" s="500"/>
      <c r="F152" s="500"/>
      <c r="G152" s="500"/>
      <c r="H152" s="500"/>
      <c r="I152" s="500"/>
      <c r="J152" s="501"/>
    </row>
    <row r="153" spans="1:10" ht="14.1" customHeight="1" x14ac:dyDescent="0.2">
      <c r="A153" s="109" t="s">
        <v>2241</v>
      </c>
      <c r="B153" s="499" t="s">
        <v>2242</v>
      </c>
      <c r="C153" s="500"/>
      <c r="D153" s="500"/>
      <c r="E153" s="500"/>
      <c r="F153" s="500"/>
      <c r="G153" s="500"/>
      <c r="H153" s="500"/>
      <c r="I153" s="500"/>
      <c r="J153" s="501"/>
    </row>
    <row r="154" spans="1:10" ht="14.1" customHeight="1" x14ac:dyDescent="0.2">
      <c r="A154" s="109" t="s">
        <v>2243</v>
      </c>
      <c r="B154" s="499" t="s">
        <v>2244</v>
      </c>
      <c r="C154" s="500"/>
      <c r="D154" s="500"/>
      <c r="E154" s="500"/>
      <c r="F154" s="500"/>
      <c r="G154" s="500"/>
      <c r="H154" s="500"/>
      <c r="I154" s="500"/>
      <c r="J154" s="501"/>
    </row>
    <row r="155" spans="1:10" ht="14.1" customHeight="1" x14ac:dyDescent="0.2">
      <c r="A155" s="109" t="s">
        <v>2245</v>
      </c>
      <c r="B155" s="499" t="s">
        <v>1050</v>
      </c>
      <c r="C155" s="500"/>
      <c r="D155" s="500"/>
      <c r="E155" s="500"/>
      <c r="F155" s="500"/>
      <c r="G155" s="500"/>
      <c r="H155" s="500"/>
      <c r="I155" s="500"/>
      <c r="J155" s="501"/>
    </row>
    <row r="156" spans="1:10" ht="14.1" customHeight="1" x14ac:dyDescent="0.2">
      <c r="A156" s="109" t="s">
        <v>1051</v>
      </c>
      <c r="B156" s="499" t="s">
        <v>1052</v>
      </c>
      <c r="C156" s="500"/>
      <c r="D156" s="500"/>
      <c r="E156" s="500"/>
      <c r="F156" s="500"/>
      <c r="G156" s="500"/>
      <c r="H156" s="500"/>
      <c r="I156" s="500"/>
      <c r="J156" s="501"/>
    </row>
    <row r="157" spans="1:10" ht="14.1" customHeight="1" x14ac:dyDescent="0.2">
      <c r="A157" s="109" t="s">
        <v>1053</v>
      </c>
      <c r="B157" s="499" t="s">
        <v>1054</v>
      </c>
      <c r="C157" s="500"/>
      <c r="D157" s="500"/>
      <c r="E157" s="500"/>
      <c r="F157" s="500"/>
      <c r="G157" s="500"/>
      <c r="H157" s="500"/>
      <c r="I157" s="500"/>
      <c r="J157" s="501"/>
    </row>
    <row r="158" spans="1:10" ht="14.1" customHeight="1" x14ac:dyDescent="0.2">
      <c r="A158" s="109" t="s">
        <v>1055</v>
      </c>
      <c r="B158" s="499" t="s">
        <v>1056</v>
      </c>
      <c r="C158" s="500"/>
      <c r="D158" s="500"/>
      <c r="E158" s="500"/>
      <c r="F158" s="500"/>
      <c r="G158" s="500"/>
      <c r="H158" s="500"/>
      <c r="I158" s="500"/>
      <c r="J158" s="501"/>
    </row>
    <row r="159" spans="1:10" ht="14.1" customHeight="1" x14ac:dyDescent="0.2">
      <c r="A159" s="109" t="s">
        <v>1057</v>
      </c>
      <c r="B159" s="499" t="s">
        <v>1058</v>
      </c>
      <c r="C159" s="500"/>
      <c r="D159" s="500"/>
      <c r="E159" s="500"/>
      <c r="F159" s="500"/>
      <c r="G159" s="500"/>
      <c r="H159" s="500"/>
      <c r="I159" s="500"/>
      <c r="J159" s="501"/>
    </row>
    <row r="160" spans="1:10" ht="14.1" customHeight="1" x14ac:dyDescent="0.2">
      <c r="A160" s="109" t="s">
        <v>1059</v>
      </c>
      <c r="B160" s="499" t="s">
        <v>1060</v>
      </c>
      <c r="C160" s="500"/>
      <c r="D160" s="500"/>
      <c r="E160" s="500"/>
      <c r="F160" s="500"/>
      <c r="G160" s="500"/>
      <c r="H160" s="500"/>
      <c r="I160" s="500"/>
      <c r="J160" s="501"/>
    </row>
    <row r="161" spans="1:10" ht="14.1" customHeight="1" x14ac:dyDescent="0.2">
      <c r="A161" s="109" t="s">
        <v>1061</v>
      </c>
      <c r="B161" s="499" t="s">
        <v>1062</v>
      </c>
      <c r="C161" s="500"/>
      <c r="D161" s="500"/>
      <c r="E161" s="500"/>
      <c r="F161" s="500"/>
      <c r="G161" s="500"/>
      <c r="H161" s="500"/>
      <c r="I161" s="500"/>
      <c r="J161" s="501"/>
    </row>
    <row r="162" spans="1:10" ht="14.1" customHeight="1" x14ac:dyDescent="0.2">
      <c r="A162" s="109" t="s">
        <v>1063</v>
      </c>
      <c r="B162" s="499" t="s">
        <v>1064</v>
      </c>
      <c r="C162" s="500"/>
      <c r="D162" s="500"/>
      <c r="E162" s="500"/>
      <c r="F162" s="500"/>
      <c r="G162" s="500"/>
      <c r="H162" s="500"/>
      <c r="I162" s="500"/>
      <c r="J162" s="501"/>
    </row>
    <row r="163" spans="1:10" ht="14.1" customHeight="1" x14ac:dyDescent="0.2">
      <c r="A163" s="109" t="s">
        <v>1065</v>
      </c>
      <c r="B163" s="499" t="s">
        <v>1500</v>
      </c>
      <c r="C163" s="500"/>
      <c r="D163" s="500"/>
      <c r="E163" s="500"/>
      <c r="F163" s="500"/>
      <c r="G163" s="500"/>
      <c r="H163" s="500"/>
      <c r="I163" s="500"/>
      <c r="J163" s="501"/>
    </row>
    <row r="164" spans="1:10" ht="14.1" customHeight="1" x14ac:dyDescent="0.2">
      <c r="A164" s="109" t="s">
        <v>1501</v>
      </c>
      <c r="B164" s="499" t="s">
        <v>1502</v>
      </c>
      <c r="C164" s="500"/>
      <c r="D164" s="500"/>
      <c r="E164" s="500"/>
      <c r="F164" s="500"/>
      <c r="G164" s="500"/>
      <c r="H164" s="500"/>
      <c r="I164" s="500"/>
      <c r="J164" s="501"/>
    </row>
    <row r="165" spans="1:10" ht="14.1" customHeight="1" x14ac:dyDescent="0.2">
      <c r="A165" s="109" t="s">
        <v>1503</v>
      </c>
      <c r="B165" s="499" t="s">
        <v>1225</v>
      </c>
      <c r="C165" s="500"/>
      <c r="D165" s="500"/>
      <c r="E165" s="500"/>
      <c r="F165" s="500"/>
      <c r="G165" s="500"/>
      <c r="H165" s="500"/>
      <c r="I165" s="500"/>
      <c r="J165" s="501"/>
    </row>
    <row r="166" spans="1:10" ht="14.1" customHeight="1" x14ac:dyDescent="0.2">
      <c r="A166" s="109" t="s">
        <v>1226</v>
      </c>
      <c r="B166" s="499" t="s">
        <v>2351</v>
      </c>
      <c r="C166" s="500"/>
      <c r="D166" s="500"/>
      <c r="E166" s="500"/>
      <c r="F166" s="500"/>
      <c r="G166" s="500"/>
      <c r="H166" s="500"/>
      <c r="I166" s="500"/>
      <c r="J166" s="501"/>
    </row>
    <row r="167" spans="1:10" ht="14.1" customHeight="1" x14ac:dyDescent="0.2">
      <c r="A167" s="109" t="s">
        <v>2352</v>
      </c>
      <c r="B167" s="499" t="s">
        <v>2353</v>
      </c>
      <c r="C167" s="500"/>
      <c r="D167" s="500"/>
      <c r="E167" s="500"/>
      <c r="F167" s="500"/>
      <c r="G167" s="500"/>
      <c r="H167" s="500"/>
      <c r="I167" s="500"/>
      <c r="J167" s="501"/>
    </row>
    <row r="168" spans="1:10" ht="14.1" customHeight="1" x14ac:dyDescent="0.2">
      <c r="A168" s="109" t="s">
        <v>2354</v>
      </c>
      <c r="B168" s="499" t="s">
        <v>2355</v>
      </c>
      <c r="C168" s="500"/>
      <c r="D168" s="500"/>
      <c r="E168" s="500"/>
      <c r="F168" s="500"/>
      <c r="G168" s="500"/>
      <c r="H168" s="500"/>
      <c r="I168" s="500"/>
      <c r="J168" s="501"/>
    </row>
    <row r="169" spans="1:10" ht="14.1" customHeight="1" x14ac:dyDescent="0.2">
      <c r="A169" s="109" t="s">
        <v>2356</v>
      </c>
      <c r="B169" s="499" t="s">
        <v>2357</v>
      </c>
      <c r="C169" s="500"/>
      <c r="D169" s="500"/>
      <c r="E169" s="500"/>
      <c r="F169" s="500"/>
      <c r="G169" s="500"/>
      <c r="H169" s="500"/>
      <c r="I169" s="500"/>
      <c r="J169" s="501"/>
    </row>
    <row r="170" spans="1:10" ht="14.1" customHeight="1" x14ac:dyDescent="0.2">
      <c r="A170" s="109" t="s">
        <v>2358</v>
      </c>
      <c r="B170" s="499" t="s">
        <v>2359</v>
      </c>
      <c r="C170" s="500"/>
      <c r="D170" s="500"/>
      <c r="E170" s="500"/>
      <c r="F170" s="500"/>
      <c r="G170" s="500"/>
      <c r="H170" s="500"/>
      <c r="I170" s="500"/>
      <c r="J170" s="501"/>
    </row>
    <row r="171" spans="1:10" ht="14.1" customHeight="1" x14ac:dyDescent="0.2">
      <c r="A171" s="109" t="s">
        <v>2360</v>
      </c>
      <c r="B171" s="499" t="s">
        <v>2361</v>
      </c>
      <c r="C171" s="500"/>
      <c r="D171" s="500"/>
      <c r="E171" s="500"/>
      <c r="F171" s="500"/>
      <c r="G171" s="500"/>
      <c r="H171" s="500"/>
      <c r="I171" s="500"/>
      <c r="J171" s="501"/>
    </row>
    <row r="172" spans="1:10" ht="14.1" customHeight="1" x14ac:dyDescent="0.2">
      <c r="A172" s="109" t="s">
        <v>2362</v>
      </c>
      <c r="B172" s="499" t="s">
        <v>2363</v>
      </c>
      <c r="C172" s="500"/>
      <c r="D172" s="500"/>
      <c r="E172" s="500"/>
      <c r="F172" s="500"/>
      <c r="G172" s="500"/>
      <c r="H172" s="500"/>
      <c r="I172" s="500"/>
      <c r="J172" s="501"/>
    </row>
    <row r="173" spans="1:10" ht="14.1" customHeight="1" x14ac:dyDescent="0.2">
      <c r="A173" s="109" t="s">
        <v>2364</v>
      </c>
      <c r="B173" s="499" t="s">
        <v>613</v>
      </c>
      <c r="C173" s="500"/>
      <c r="D173" s="500"/>
      <c r="E173" s="500"/>
      <c r="F173" s="500"/>
      <c r="G173" s="500"/>
      <c r="H173" s="500"/>
      <c r="I173" s="500"/>
      <c r="J173" s="501"/>
    </row>
    <row r="174" spans="1:10" ht="14.1" customHeight="1" x14ac:dyDescent="0.2">
      <c r="A174" s="109" t="s">
        <v>614</v>
      </c>
      <c r="B174" s="499" t="s">
        <v>615</v>
      </c>
      <c r="C174" s="500"/>
      <c r="D174" s="500"/>
      <c r="E174" s="500"/>
      <c r="F174" s="500"/>
      <c r="G174" s="500"/>
      <c r="H174" s="500"/>
      <c r="I174" s="500"/>
      <c r="J174" s="501"/>
    </row>
    <row r="175" spans="1:10" ht="14.1" customHeight="1" x14ac:dyDescent="0.2">
      <c r="A175" s="109" t="s">
        <v>616</v>
      </c>
      <c r="B175" s="499" t="s">
        <v>617</v>
      </c>
      <c r="C175" s="500"/>
      <c r="D175" s="500"/>
      <c r="E175" s="500"/>
      <c r="F175" s="500"/>
      <c r="G175" s="500"/>
      <c r="H175" s="500"/>
      <c r="I175" s="500"/>
      <c r="J175" s="501"/>
    </row>
    <row r="176" spans="1:10" ht="14.1" customHeight="1" x14ac:dyDescent="0.2">
      <c r="A176" s="109" t="s">
        <v>618</v>
      </c>
      <c r="B176" s="499" t="s">
        <v>619</v>
      </c>
      <c r="C176" s="500"/>
      <c r="D176" s="500"/>
      <c r="E176" s="500"/>
      <c r="F176" s="500"/>
      <c r="G176" s="500"/>
      <c r="H176" s="500"/>
      <c r="I176" s="500"/>
      <c r="J176" s="501"/>
    </row>
    <row r="177" spans="1:10" ht="14.1" customHeight="1" x14ac:dyDescent="0.2">
      <c r="A177" s="109" t="s">
        <v>620</v>
      </c>
      <c r="B177" s="499" t="s">
        <v>405</v>
      </c>
      <c r="C177" s="500"/>
      <c r="D177" s="500"/>
      <c r="E177" s="500"/>
      <c r="F177" s="500"/>
      <c r="G177" s="500"/>
      <c r="H177" s="500"/>
      <c r="I177" s="500"/>
      <c r="J177" s="501"/>
    </row>
    <row r="178" spans="1:10" ht="14.1" customHeight="1" x14ac:dyDescent="0.2">
      <c r="A178" s="109" t="s">
        <v>406</v>
      </c>
      <c r="B178" s="499" t="s">
        <v>407</v>
      </c>
      <c r="C178" s="500"/>
      <c r="D178" s="500"/>
      <c r="E178" s="500"/>
      <c r="F178" s="500"/>
      <c r="G178" s="500"/>
      <c r="H178" s="500"/>
      <c r="I178" s="500"/>
      <c r="J178" s="501"/>
    </row>
    <row r="179" spans="1:10" ht="14.1" customHeight="1" x14ac:dyDescent="0.2">
      <c r="A179" s="109" t="s">
        <v>408</v>
      </c>
      <c r="B179" s="499" t="s">
        <v>409</v>
      </c>
      <c r="C179" s="500"/>
      <c r="D179" s="500"/>
      <c r="E179" s="500"/>
      <c r="F179" s="500"/>
      <c r="G179" s="500"/>
      <c r="H179" s="500"/>
      <c r="I179" s="500"/>
      <c r="J179" s="501"/>
    </row>
    <row r="180" spans="1:10" ht="14.1" customHeight="1" x14ac:dyDescent="0.2">
      <c r="A180" s="109" t="s">
        <v>410</v>
      </c>
      <c r="B180" s="499" t="s">
        <v>411</v>
      </c>
      <c r="C180" s="500"/>
      <c r="D180" s="500"/>
      <c r="E180" s="500"/>
      <c r="F180" s="500"/>
      <c r="G180" s="500"/>
      <c r="H180" s="500"/>
      <c r="I180" s="500"/>
      <c r="J180" s="501"/>
    </row>
    <row r="181" spans="1:10" ht="14.1" customHeight="1" x14ac:dyDescent="0.2">
      <c r="A181" s="109" t="s">
        <v>412</v>
      </c>
      <c r="B181" s="499" t="s">
        <v>413</v>
      </c>
      <c r="C181" s="500"/>
      <c r="D181" s="500"/>
      <c r="E181" s="500"/>
      <c r="F181" s="500"/>
      <c r="G181" s="500"/>
      <c r="H181" s="500"/>
      <c r="I181" s="500"/>
      <c r="J181" s="501"/>
    </row>
    <row r="182" spans="1:10" ht="14.1" customHeight="1" x14ac:dyDescent="0.2">
      <c r="A182" s="109" t="s">
        <v>414</v>
      </c>
      <c r="B182" s="499" t="s">
        <v>2257</v>
      </c>
      <c r="C182" s="500"/>
      <c r="D182" s="500"/>
      <c r="E182" s="500"/>
      <c r="F182" s="500"/>
      <c r="G182" s="500"/>
      <c r="H182" s="500"/>
      <c r="I182" s="500"/>
      <c r="J182" s="501"/>
    </row>
    <row r="183" spans="1:10" ht="14.1" customHeight="1" x14ac:dyDescent="0.2">
      <c r="A183" s="109" t="s">
        <v>2258</v>
      </c>
      <c r="B183" s="499" t="s">
        <v>852</v>
      </c>
      <c r="C183" s="500"/>
      <c r="D183" s="500"/>
      <c r="E183" s="500"/>
      <c r="F183" s="500"/>
      <c r="G183" s="500"/>
      <c r="H183" s="500"/>
      <c r="I183" s="500"/>
      <c r="J183" s="501"/>
    </row>
    <row r="184" spans="1:10" ht="14.1" customHeight="1" x14ac:dyDescent="0.2">
      <c r="A184" s="109" t="s">
        <v>853</v>
      </c>
      <c r="B184" s="499" t="s">
        <v>854</v>
      </c>
      <c r="C184" s="500"/>
      <c r="D184" s="500"/>
      <c r="E184" s="500"/>
      <c r="F184" s="500"/>
      <c r="G184" s="500"/>
      <c r="H184" s="500"/>
      <c r="I184" s="500"/>
      <c r="J184" s="501"/>
    </row>
    <row r="185" spans="1:10" ht="14.1" customHeight="1" x14ac:dyDescent="0.2">
      <c r="A185" s="109" t="s">
        <v>855</v>
      </c>
      <c r="B185" s="499" t="s">
        <v>856</v>
      </c>
      <c r="C185" s="500"/>
      <c r="D185" s="500"/>
      <c r="E185" s="500"/>
      <c r="F185" s="500"/>
      <c r="G185" s="500"/>
      <c r="H185" s="500"/>
      <c r="I185" s="500"/>
      <c r="J185" s="501"/>
    </row>
    <row r="186" spans="1:10" ht="14.1" customHeight="1" x14ac:dyDescent="0.2">
      <c r="A186" s="109" t="s">
        <v>857</v>
      </c>
      <c r="B186" s="499" t="s">
        <v>858</v>
      </c>
      <c r="C186" s="500"/>
      <c r="D186" s="500"/>
      <c r="E186" s="500"/>
      <c r="F186" s="500"/>
      <c r="G186" s="500"/>
      <c r="H186" s="500"/>
      <c r="I186" s="500"/>
      <c r="J186" s="501"/>
    </row>
    <row r="187" spans="1:10" ht="14.1" customHeight="1" x14ac:dyDescent="0.2">
      <c r="A187" s="109" t="s">
        <v>859</v>
      </c>
      <c r="B187" s="499" t="s">
        <v>860</v>
      </c>
      <c r="C187" s="500"/>
      <c r="D187" s="500"/>
      <c r="E187" s="500"/>
      <c r="F187" s="500"/>
      <c r="G187" s="500"/>
      <c r="H187" s="500"/>
      <c r="I187" s="500"/>
      <c r="J187" s="501"/>
    </row>
    <row r="188" spans="1:10" ht="14.1" customHeight="1" x14ac:dyDescent="0.2">
      <c r="A188" s="109" t="s">
        <v>861</v>
      </c>
      <c r="B188" s="499" t="s">
        <v>862</v>
      </c>
      <c r="C188" s="500"/>
      <c r="D188" s="500"/>
      <c r="E188" s="500"/>
      <c r="F188" s="500"/>
      <c r="G188" s="500"/>
      <c r="H188" s="500"/>
      <c r="I188" s="500"/>
      <c r="J188" s="501"/>
    </row>
    <row r="189" spans="1:10" ht="14.1" customHeight="1" x14ac:dyDescent="0.2">
      <c r="A189" s="109" t="s">
        <v>863</v>
      </c>
      <c r="B189" s="499" t="s">
        <v>864</v>
      </c>
      <c r="C189" s="500"/>
      <c r="D189" s="500"/>
      <c r="E189" s="500"/>
      <c r="F189" s="500"/>
      <c r="G189" s="500"/>
      <c r="H189" s="500"/>
      <c r="I189" s="500"/>
      <c r="J189" s="501"/>
    </row>
    <row r="190" spans="1:10" ht="14.1" customHeight="1" x14ac:dyDescent="0.2">
      <c r="A190" s="109" t="s">
        <v>865</v>
      </c>
      <c r="B190" s="499" t="s">
        <v>866</v>
      </c>
      <c r="C190" s="500"/>
      <c r="D190" s="500"/>
      <c r="E190" s="500"/>
      <c r="F190" s="500"/>
      <c r="G190" s="500"/>
      <c r="H190" s="500"/>
      <c r="I190" s="500"/>
      <c r="J190" s="501"/>
    </row>
    <row r="191" spans="1:10" ht="14.1" customHeight="1" x14ac:dyDescent="0.2">
      <c r="A191" s="109" t="s">
        <v>867</v>
      </c>
      <c r="B191" s="499" t="s">
        <v>868</v>
      </c>
      <c r="C191" s="500"/>
      <c r="D191" s="500"/>
      <c r="E191" s="500"/>
      <c r="F191" s="500"/>
      <c r="G191" s="500"/>
      <c r="H191" s="500"/>
      <c r="I191" s="500"/>
      <c r="J191" s="501"/>
    </row>
    <row r="192" spans="1:10" ht="14.1" customHeight="1" x14ac:dyDescent="0.2">
      <c r="A192" s="109" t="s">
        <v>869</v>
      </c>
      <c r="B192" s="499" t="s">
        <v>870</v>
      </c>
      <c r="C192" s="500"/>
      <c r="D192" s="500"/>
      <c r="E192" s="500"/>
      <c r="F192" s="500"/>
      <c r="G192" s="500"/>
      <c r="H192" s="500"/>
      <c r="I192" s="500"/>
      <c r="J192" s="501"/>
    </row>
    <row r="193" spans="1:10" ht="14.1" customHeight="1" x14ac:dyDescent="0.2">
      <c r="A193" s="109" t="s">
        <v>871</v>
      </c>
      <c r="B193" s="499" t="s">
        <v>872</v>
      </c>
      <c r="C193" s="500"/>
      <c r="D193" s="500"/>
      <c r="E193" s="500"/>
      <c r="F193" s="500"/>
      <c r="G193" s="500"/>
      <c r="H193" s="500"/>
      <c r="I193" s="500"/>
      <c r="J193" s="501"/>
    </row>
    <row r="194" spans="1:10" ht="14.1" customHeight="1" x14ac:dyDescent="0.2">
      <c r="A194" s="109" t="s">
        <v>873</v>
      </c>
      <c r="B194" s="499" t="s">
        <v>1504</v>
      </c>
      <c r="C194" s="500"/>
      <c r="D194" s="500"/>
      <c r="E194" s="500"/>
      <c r="F194" s="500"/>
      <c r="G194" s="500"/>
      <c r="H194" s="500"/>
      <c r="I194" s="500"/>
      <c r="J194" s="501"/>
    </row>
    <row r="195" spans="1:10" ht="14.1" customHeight="1" x14ac:dyDescent="0.2">
      <c r="A195" s="109" t="s">
        <v>1505</v>
      </c>
      <c r="B195" s="499" t="s">
        <v>1506</v>
      </c>
      <c r="C195" s="500"/>
      <c r="D195" s="500"/>
      <c r="E195" s="500"/>
      <c r="F195" s="500"/>
      <c r="G195" s="500"/>
      <c r="H195" s="500"/>
      <c r="I195" s="500"/>
      <c r="J195" s="501"/>
    </row>
    <row r="196" spans="1:10" ht="14.1" customHeight="1" x14ac:dyDescent="0.2">
      <c r="A196" s="109" t="s">
        <v>1507</v>
      </c>
      <c r="B196" s="499" t="s">
        <v>1123</v>
      </c>
      <c r="C196" s="500"/>
      <c r="D196" s="500"/>
      <c r="E196" s="500"/>
      <c r="F196" s="500"/>
      <c r="G196" s="500"/>
      <c r="H196" s="500"/>
      <c r="I196" s="500"/>
      <c r="J196" s="501"/>
    </row>
    <row r="197" spans="1:10" ht="14.1" customHeight="1" x14ac:dyDescent="0.2">
      <c r="A197" s="109" t="s">
        <v>1124</v>
      </c>
      <c r="B197" s="499" t="s">
        <v>1125</v>
      </c>
      <c r="C197" s="500"/>
      <c r="D197" s="500"/>
      <c r="E197" s="500"/>
      <c r="F197" s="500"/>
      <c r="G197" s="500"/>
      <c r="H197" s="500"/>
      <c r="I197" s="500"/>
      <c r="J197" s="501"/>
    </row>
    <row r="198" spans="1:10" ht="14.1" customHeight="1" x14ac:dyDescent="0.2">
      <c r="A198" s="109" t="s">
        <v>1126</v>
      </c>
      <c r="B198" s="499" t="s">
        <v>1127</v>
      </c>
      <c r="C198" s="500"/>
      <c r="D198" s="500"/>
      <c r="E198" s="500"/>
      <c r="F198" s="500"/>
      <c r="G198" s="500"/>
      <c r="H198" s="500"/>
      <c r="I198" s="500"/>
      <c r="J198" s="501"/>
    </row>
    <row r="199" spans="1:10" ht="14.1" customHeight="1" x14ac:dyDescent="0.2">
      <c r="A199" s="109" t="s">
        <v>1128</v>
      </c>
      <c r="B199" s="499" t="s">
        <v>1129</v>
      </c>
      <c r="C199" s="500"/>
      <c r="D199" s="500"/>
      <c r="E199" s="500"/>
      <c r="F199" s="500"/>
      <c r="G199" s="500"/>
      <c r="H199" s="500"/>
      <c r="I199" s="500"/>
      <c r="J199" s="501"/>
    </row>
    <row r="200" spans="1:10" ht="14.1" customHeight="1" x14ac:dyDescent="0.2">
      <c r="A200" s="109" t="s">
        <v>1130</v>
      </c>
      <c r="B200" s="499" t="s">
        <v>1131</v>
      </c>
      <c r="C200" s="500"/>
      <c r="D200" s="500"/>
      <c r="E200" s="500"/>
      <c r="F200" s="500"/>
      <c r="G200" s="500"/>
      <c r="H200" s="500"/>
      <c r="I200" s="500"/>
      <c r="J200" s="501"/>
    </row>
    <row r="201" spans="1:10" ht="14.1" customHeight="1" x14ac:dyDescent="0.2">
      <c r="A201" s="109" t="s">
        <v>1132</v>
      </c>
      <c r="B201" s="499" t="s">
        <v>2011</v>
      </c>
      <c r="C201" s="500"/>
      <c r="D201" s="500"/>
      <c r="E201" s="500"/>
      <c r="F201" s="500"/>
      <c r="G201" s="500"/>
      <c r="H201" s="500"/>
      <c r="I201" s="500"/>
      <c r="J201" s="501"/>
    </row>
    <row r="202" spans="1:10" ht="14.1" customHeight="1" x14ac:dyDescent="0.2">
      <c r="A202" s="109" t="s">
        <v>2012</v>
      </c>
      <c r="B202" s="499" t="s">
        <v>2013</v>
      </c>
      <c r="C202" s="500"/>
      <c r="D202" s="500"/>
      <c r="E202" s="500"/>
      <c r="F202" s="500"/>
      <c r="G202" s="500"/>
      <c r="H202" s="500"/>
      <c r="I202" s="500"/>
      <c r="J202" s="501"/>
    </row>
    <row r="203" spans="1:10" ht="14.1" customHeight="1" x14ac:dyDescent="0.2">
      <c r="A203" s="109" t="s">
        <v>2014</v>
      </c>
      <c r="B203" s="499" t="s">
        <v>2015</v>
      </c>
      <c r="C203" s="500"/>
      <c r="D203" s="500"/>
      <c r="E203" s="500"/>
      <c r="F203" s="500"/>
      <c r="G203" s="500"/>
      <c r="H203" s="500"/>
      <c r="I203" s="500"/>
      <c r="J203" s="501"/>
    </row>
    <row r="204" spans="1:10" ht="14.1" customHeight="1" x14ac:dyDescent="0.2">
      <c r="A204" s="109" t="s">
        <v>2016</v>
      </c>
      <c r="B204" s="499" t="s">
        <v>2017</v>
      </c>
      <c r="C204" s="500"/>
      <c r="D204" s="500"/>
      <c r="E204" s="500"/>
      <c r="F204" s="500"/>
      <c r="G204" s="500"/>
      <c r="H204" s="500"/>
      <c r="I204" s="500"/>
      <c r="J204" s="501"/>
    </row>
    <row r="205" spans="1:10" ht="14.1" customHeight="1" x14ac:dyDescent="0.2">
      <c r="A205" s="109" t="s">
        <v>2018</v>
      </c>
      <c r="B205" s="499" t="s">
        <v>2019</v>
      </c>
      <c r="C205" s="500"/>
      <c r="D205" s="500"/>
      <c r="E205" s="500"/>
      <c r="F205" s="500"/>
      <c r="G205" s="500"/>
      <c r="H205" s="500"/>
      <c r="I205" s="500"/>
      <c r="J205" s="501"/>
    </row>
    <row r="206" spans="1:10" ht="14.1" customHeight="1" x14ac:dyDescent="0.2">
      <c r="A206" s="109" t="s">
        <v>2020</v>
      </c>
      <c r="B206" s="499" t="s">
        <v>2021</v>
      </c>
      <c r="C206" s="500"/>
      <c r="D206" s="500"/>
      <c r="E206" s="500"/>
      <c r="F206" s="500"/>
      <c r="G206" s="500"/>
      <c r="H206" s="500"/>
      <c r="I206" s="500"/>
      <c r="J206" s="501"/>
    </row>
    <row r="207" spans="1:10" ht="14.1" customHeight="1" x14ac:dyDescent="0.2">
      <c r="A207" s="109" t="s">
        <v>2022</v>
      </c>
      <c r="B207" s="499" t="s">
        <v>2023</v>
      </c>
      <c r="C207" s="500"/>
      <c r="D207" s="500"/>
      <c r="E207" s="500"/>
      <c r="F207" s="500"/>
      <c r="G207" s="500"/>
      <c r="H207" s="500"/>
      <c r="I207" s="500"/>
      <c r="J207" s="501"/>
    </row>
    <row r="208" spans="1:10" ht="14.1" customHeight="1" x14ac:dyDescent="0.2">
      <c r="A208" s="109" t="s">
        <v>2024</v>
      </c>
      <c r="B208" s="499" t="s">
        <v>2025</v>
      </c>
      <c r="C208" s="500"/>
      <c r="D208" s="500"/>
      <c r="E208" s="500"/>
      <c r="F208" s="500"/>
      <c r="G208" s="500"/>
      <c r="H208" s="500"/>
      <c r="I208" s="500"/>
      <c r="J208" s="501"/>
    </row>
    <row r="209" spans="1:10" ht="14.1" customHeight="1" x14ac:dyDescent="0.2">
      <c r="A209" s="109" t="s">
        <v>2026</v>
      </c>
      <c r="B209" s="499" t="s">
        <v>1133</v>
      </c>
      <c r="C209" s="500"/>
      <c r="D209" s="500"/>
      <c r="E209" s="500"/>
      <c r="F209" s="500"/>
      <c r="G209" s="500"/>
      <c r="H209" s="500"/>
      <c r="I209" s="500"/>
      <c r="J209" s="501"/>
    </row>
    <row r="210" spans="1:10" ht="14.1" customHeight="1" x14ac:dyDescent="0.2">
      <c r="A210" s="109" t="s">
        <v>1134</v>
      </c>
      <c r="B210" s="499" t="s">
        <v>1135</v>
      </c>
      <c r="C210" s="500"/>
      <c r="D210" s="500"/>
      <c r="E210" s="500"/>
      <c r="F210" s="500"/>
      <c r="G210" s="500"/>
      <c r="H210" s="500"/>
      <c r="I210" s="500"/>
      <c r="J210" s="501"/>
    </row>
    <row r="211" spans="1:10" ht="14.1" customHeight="1" x14ac:dyDescent="0.2">
      <c r="A211" s="109" t="s">
        <v>1136</v>
      </c>
      <c r="B211" s="499" t="s">
        <v>1137</v>
      </c>
      <c r="C211" s="500"/>
      <c r="D211" s="500"/>
      <c r="E211" s="500"/>
      <c r="F211" s="500"/>
      <c r="G211" s="500"/>
      <c r="H211" s="500"/>
      <c r="I211" s="500"/>
      <c r="J211" s="501"/>
    </row>
    <row r="212" spans="1:10" ht="14.1" customHeight="1" x14ac:dyDescent="0.2">
      <c r="A212" s="109" t="s">
        <v>1138</v>
      </c>
      <c r="B212" s="499" t="s">
        <v>1139</v>
      </c>
      <c r="C212" s="500"/>
      <c r="D212" s="500"/>
      <c r="E212" s="500"/>
      <c r="F212" s="500"/>
      <c r="G212" s="500"/>
      <c r="H212" s="500"/>
      <c r="I212" s="500"/>
      <c r="J212" s="501"/>
    </row>
    <row r="213" spans="1:10" ht="14.1" customHeight="1" x14ac:dyDescent="0.2">
      <c r="A213" s="109" t="s">
        <v>1140</v>
      </c>
      <c r="B213" s="499" t="s">
        <v>1141</v>
      </c>
      <c r="C213" s="500"/>
      <c r="D213" s="500"/>
      <c r="E213" s="500"/>
      <c r="F213" s="500"/>
      <c r="G213" s="500"/>
      <c r="H213" s="500"/>
      <c r="I213" s="500"/>
      <c r="J213" s="501"/>
    </row>
    <row r="214" spans="1:10" ht="14.1" customHeight="1" x14ac:dyDescent="0.2">
      <c r="A214" s="109" t="s">
        <v>1142</v>
      </c>
      <c r="B214" s="499" t="s">
        <v>1143</v>
      </c>
      <c r="C214" s="500"/>
      <c r="D214" s="500"/>
      <c r="E214" s="500"/>
      <c r="F214" s="500"/>
      <c r="G214" s="500"/>
      <c r="H214" s="500"/>
      <c r="I214" s="500"/>
      <c r="J214" s="501"/>
    </row>
    <row r="215" spans="1:10" ht="14.1" customHeight="1" x14ac:dyDescent="0.2">
      <c r="A215" s="109" t="s">
        <v>1144</v>
      </c>
      <c r="B215" s="499" t="s">
        <v>1145</v>
      </c>
      <c r="C215" s="500"/>
      <c r="D215" s="500"/>
      <c r="E215" s="500"/>
      <c r="F215" s="500"/>
      <c r="G215" s="500"/>
      <c r="H215" s="500"/>
      <c r="I215" s="500"/>
      <c r="J215" s="501"/>
    </row>
    <row r="216" spans="1:10" ht="14.1" customHeight="1" x14ac:dyDescent="0.2">
      <c r="A216" s="109" t="s">
        <v>1146</v>
      </c>
      <c r="B216" s="499" t="s">
        <v>1147</v>
      </c>
      <c r="C216" s="500"/>
      <c r="D216" s="500"/>
      <c r="E216" s="500"/>
      <c r="F216" s="500"/>
      <c r="G216" s="500"/>
      <c r="H216" s="500"/>
      <c r="I216" s="500"/>
      <c r="J216" s="501"/>
    </row>
    <row r="217" spans="1:10" ht="14.1" customHeight="1" x14ac:dyDescent="0.2">
      <c r="A217" s="109" t="s">
        <v>1148</v>
      </c>
      <c r="B217" s="499" t="s">
        <v>1008</v>
      </c>
      <c r="C217" s="500"/>
      <c r="D217" s="500"/>
      <c r="E217" s="500"/>
      <c r="F217" s="500"/>
      <c r="G217" s="500"/>
      <c r="H217" s="500"/>
      <c r="I217" s="500"/>
      <c r="J217" s="501"/>
    </row>
    <row r="218" spans="1:10" ht="14.1" customHeight="1" x14ac:dyDescent="0.2">
      <c r="A218" s="109" t="s">
        <v>1009</v>
      </c>
      <c r="B218" s="499" t="s">
        <v>1010</v>
      </c>
      <c r="C218" s="500"/>
      <c r="D218" s="500"/>
      <c r="E218" s="500"/>
      <c r="F218" s="500"/>
      <c r="G218" s="500"/>
      <c r="H218" s="500"/>
      <c r="I218" s="500"/>
      <c r="J218" s="501"/>
    </row>
    <row r="219" spans="1:10" ht="14.1" customHeight="1" x14ac:dyDescent="0.2">
      <c r="A219" s="109" t="s">
        <v>1011</v>
      </c>
      <c r="B219" s="499" t="s">
        <v>2701</v>
      </c>
      <c r="C219" s="500"/>
      <c r="D219" s="500"/>
      <c r="E219" s="500"/>
      <c r="F219" s="500"/>
      <c r="G219" s="500"/>
      <c r="H219" s="500"/>
      <c r="I219" s="500"/>
      <c r="J219" s="501"/>
    </row>
    <row r="220" spans="1:10" ht="14.1" customHeight="1" x14ac:dyDescent="0.2">
      <c r="A220" s="109" t="s">
        <v>2702</v>
      </c>
      <c r="B220" s="499" t="s">
        <v>2703</v>
      </c>
      <c r="C220" s="500"/>
      <c r="D220" s="500"/>
      <c r="E220" s="500"/>
      <c r="F220" s="500"/>
      <c r="G220" s="500"/>
      <c r="H220" s="500"/>
      <c r="I220" s="500"/>
      <c r="J220" s="501"/>
    </row>
    <row r="221" spans="1:10" ht="14.1" customHeight="1" x14ac:dyDescent="0.2">
      <c r="A221" s="109" t="s">
        <v>2704</v>
      </c>
      <c r="B221" s="499" t="s">
        <v>2705</v>
      </c>
      <c r="C221" s="500"/>
      <c r="D221" s="500"/>
      <c r="E221" s="500"/>
      <c r="F221" s="500"/>
      <c r="G221" s="500"/>
      <c r="H221" s="500"/>
      <c r="I221" s="500"/>
      <c r="J221" s="501"/>
    </row>
    <row r="222" spans="1:10" ht="14.1" customHeight="1" x14ac:dyDescent="0.2">
      <c r="A222" s="109" t="s">
        <v>2706</v>
      </c>
      <c r="B222" s="499" t="s">
        <v>10</v>
      </c>
      <c r="C222" s="500"/>
      <c r="D222" s="500"/>
      <c r="E222" s="500"/>
      <c r="F222" s="500"/>
      <c r="G222" s="500"/>
      <c r="H222" s="500"/>
      <c r="I222" s="500"/>
      <c r="J222" s="501"/>
    </row>
    <row r="223" spans="1:10" ht="14.1" customHeight="1" x14ac:dyDescent="0.2">
      <c r="A223" s="109" t="s">
        <v>11</v>
      </c>
      <c r="B223" s="499" t="s">
        <v>12</v>
      </c>
      <c r="C223" s="500"/>
      <c r="D223" s="500"/>
      <c r="E223" s="500"/>
      <c r="F223" s="500"/>
      <c r="G223" s="500"/>
      <c r="H223" s="500"/>
      <c r="I223" s="500"/>
      <c r="J223" s="501"/>
    </row>
    <row r="224" spans="1:10" ht="14.1" customHeight="1" x14ac:dyDescent="0.2">
      <c r="A224" s="109" t="s">
        <v>13</v>
      </c>
      <c r="B224" s="499" t="s">
        <v>14</v>
      </c>
      <c r="C224" s="500"/>
      <c r="D224" s="500"/>
      <c r="E224" s="500"/>
      <c r="F224" s="500"/>
      <c r="G224" s="500"/>
      <c r="H224" s="500"/>
      <c r="I224" s="500"/>
      <c r="J224" s="501"/>
    </row>
    <row r="225" spans="1:10" ht="14.1" customHeight="1" x14ac:dyDescent="0.2">
      <c r="A225" s="109" t="s">
        <v>15</v>
      </c>
      <c r="B225" s="499" t="s">
        <v>16</v>
      </c>
      <c r="C225" s="500"/>
      <c r="D225" s="500"/>
      <c r="E225" s="500"/>
      <c r="F225" s="500"/>
      <c r="G225" s="500"/>
      <c r="H225" s="500"/>
      <c r="I225" s="500"/>
      <c r="J225" s="501"/>
    </row>
    <row r="226" spans="1:10" ht="14.1" customHeight="1" x14ac:dyDescent="0.2">
      <c r="A226" s="109" t="s">
        <v>17</v>
      </c>
      <c r="B226" s="499" t="s">
        <v>18</v>
      </c>
      <c r="C226" s="500"/>
      <c r="D226" s="500"/>
      <c r="E226" s="500"/>
      <c r="F226" s="500"/>
      <c r="G226" s="500"/>
      <c r="H226" s="500"/>
      <c r="I226" s="500"/>
      <c r="J226" s="501"/>
    </row>
    <row r="227" spans="1:10" ht="14.1" customHeight="1" x14ac:dyDescent="0.2">
      <c r="A227" s="109" t="s">
        <v>19</v>
      </c>
      <c r="B227" s="499" t="s">
        <v>20</v>
      </c>
      <c r="C227" s="500"/>
      <c r="D227" s="500"/>
      <c r="E227" s="500"/>
      <c r="F227" s="500"/>
      <c r="G227" s="500"/>
      <c r="H227" s="500"/>
      <c r="I227" s="500"/>
      <c r="J227" s="501"/>
    </row>
    <row r="228" spans="1:10" ht="14.1" customHeight="1" x14ac:dyDescent="0.2">
      <c r="A228" s="109" t="s">
        <v>21</v>
      </c>
      <c r="B228" s="499" t="s">
        <v>22</v>
      </c>
      <c r="C228" s="500"/>
      <c r="D228" s="500"/>
      <c r="E228" s="500"/>
      <c r="F228" s="500"/>
      <c r="G228" s="500"/>
      <c r="H228" s="500"/>
      <c r="I228" s="500"/>
      <c r="J228" s="501"/>
    </row>
    <row r="229" spans="1:10" ht="14.1" customHeight="1" x14ac:dyDescent="0.2">
      <c r="A229" s="109" t="s">
        <v>23</v>
      </c>
      <c r="B229" s="499" t="s">
        <v>24</v>
      </c>
      <c r="C229" s="500"/>
      <c r="D229" s="500"/>
      <c r="E229" s="500"/>
      <c r="F229" s="500"/>
      <c r="G229" s="500"/>
      <c r="H229" s="500"/>
      <c r="I229" s="500"/>
      <c r="J229" s="501"/>
    </row>
    <row r="230" spans="1:10" ht="14.1" customHeight="1" x14ac:dyDescent="0.2">
      <c r="A230" s="109" t="s">
        <v>1227</v>
      </c>
      <c r="B230" s="499" t="s">
        <v>1822</v>
      </c>
      <c r="C230" s="500"/>
      <c r="D230" s="500"/>
      <c r="E230" s="500"/>
      <c r="F230" s="500"/>
      <c r="G230" s="500"/>
      <c r="H230" s="500"/>
      <c r="I230" s="500"/>
      <c r="J230" s="501"/>
    </row>
    <row r="231" spans="1:10" ht="14.1" customHeight="1" x14ac:dyDescent="0.2">
      <c r="A231" s="109" t="s">
        <v>1823</v>
      </c>
      <c r="B231" s="499" t="s">
        <v>1824</v>
      </c>
      <c r="C231" s="500"/>
      <c r="D231" s="500"/>
      <c r="E231" s="500"/>
      <c r="F231" s="500"/>
      <c r="G231" s="500"/>
      <c r="H231" s="500"/>
      <c r="I231" s="500"/>
      <c r="J231" s="501"/>
    </row>
    <row r="232" spans="1:10" ht="14.1" customHeight="1" x14ac:dyDescent="0.2">
      <c r="A232" s="109" t="s">
        <v>1825</v>
      </c>
      <c r="B232" s="499" t="s">
        <v>1826</v>
      </c>
      <c r="C232" s="500"/>
      <c r="D232" s="500"/>
      <c r="E232" s="500"/>
      <c r="F232" s="500"/>
      <c r="G232" s="500"/>
      <c r="H232" s="500"/>
      <c r="I232" s="500"/>
      <c r="J232" s="501"/>
    </row>
    <row r="233" spans="1:10" ht="14.1" customHeight="1" x14ac:dyDescent="0.2">
      <c r="A233" s="109" t="s">
        <v>1827</v>
      </c>
      <c r="B233" s="499" t="s">
        <v>1828</v>
      </c>
      <c r="C233" s="500"/>
      <c r="D233" s="500"/>
      <c r="E233" s="500"/>
      <c r="F233" s="500"/>
      <c r="G233" s="500"/>
      <c r="H233" s="500"/>
      <c r="I233" s="500"/>
      <c r="J233" s="501"/>
    </row>
    <row r="234" spans="1:10" ht="14.1" customHeight="1" x14ac:dyDescent="0.2">
      <c r="A234" s="109" t="s">
        <v>1829</v>
      </c>
      <c r="B234" s="499" t="s">
        <v>1830</v>
      </c>
      <c r="C234" s="500"/>
      <c r="D234" s="500"/>
      <c r="E234" s="500"/>
      <c r="F234" s="500"/>
      <c r="G234" s="500"/>
      <c r="H234" s="500"/>
      <c r="I234" s="500"/>
      <c r="J234" s="501"/>
    </row>
    <row r="235" spans="1:10" ht="14.1" customHeight="1" x14ac:dyDescent="0.2">
      <c r="A235" s="109" t="s">
        <v>1831</v>
      </c>
      <c r="B235" s="499" t="s">
        <v>1832</v>
      </c>
      <c r="C235" s="500"/>
      <c r="D235" s="500"/>
      <c r="E235" s="500"/>
      <c r="F235" s="500"/>
      <c r="G235" s="500"/>
      <c r="H235" s="500"/>
      <c r="I235" s="500"/>
      <c r="J235" s="501"/>
    </row>
    <row r="236" spans="1:10" ht="14.1" customHeight="1" x14ac:dyDescent="0.2">
      <c r="A236" s="109" t="s">
        <v>1833</v>
      </c>
      <c r="B236" s="499" t="s">
        <v>1834</v>
      </c>
      <c r="C236" s="500"/>
      <c r="D236" s="500"/>
      <c r="E236" s="500"/>
      <c r="F236" s="500"/>
      <c r="G236" s="500"/>
      <c r="H236" s="500"/>
      <c r="I236" s="500"/>
      <c r="J236" s="501"/>
    </row>
    <row r="237" spans="1:10" ht="14.1" customHeight="1" x14ac:dyDescent="0.2">
      <c r="A237" s="109" t="s">
        <v>1835</v>
      </c>
      <c r="B237" s="499" t="s">
        <v>1836</v>
      </c>
      <c r="C237" s="500"/>
      <c r="D237" s="500"/>
      <c r="E237" s="500"/>
      <c r="F237" s="500"/>
      <c r="G237" s="500"/>
      <c r="H237" s="500"/>
      <c r="I237" s="500"/>
      <c r="J237" s="501"/>
    </row>
    <row r="238" spans="1:10" ht="14.1" customHeight="1" x14ac:dyDescent="0.2">
      <c r="A238" s="109" t="s">
        <v>1837</v>
      </c>
      <c r="B238" s="499" t="s">
        <v>1838</v>
      </c>
      <c r="C238" s="500"/>
      <c r="D238" s="500"/>
      <c r="E238" s="500"/>
      <c r="F238" s="500"/>
      <c r="G238" s="500"/>
      <c r="H238" s="500"/>
      <c r="I238" s="500"/>
      <c r="J238" s="501"/>
    </row>
    <row r="239" spans="1:10" ht="14.1" customHeight="1" x14ac:dyDescent="0.2">
      <c r="A239" s="109" t="s">
        <v>1839</v>
      </c>
      <c r="B239" s="499" t="s">
        <v>1840</v>
      </c>
      <c r="C239" s="500"/>
      <c r="D239" s="500"/>
      <c r="E239" s="500"/>
      <c r="F239" s="500"/>
      <c r="G239" s="500"/>
      <c r="H239" s="500"/>
      <c r="I239" s="500"/>
      <c r="J239" s="501"/>
    </row>
    <row r="240" spans="1:10" ht="14.1" customHeight="1" x14ac:dyDescent="0.2">
      <c r="A240" s="109" t="s">
        <v>1841</v>
      </c>
      <c r="B240" s="499" t="s">
        <v>1842</v>
      </c>
      <c r="C240" s="500"/>
      <c r="D240" s="500"/>
      <c r="E240" s="500"/>
      <c r="F240" s="500"/>
      <c r="G240" s="500"/>
      <c r="H240" s="500"/>
      <c r="I240" s="500"/>
      <c r="J240" s="501"/>
    </row>
    <row r="241" spans="1:10" ht="14.1" customHeight="1" x14ac:dyDescent="0.2">
      <c r="A241" s="109" t="s">
        <v>1843</v>
      </c>
      <c r="B241" s="499" t="s">
        <v>1438</v>
      </c>
      <c r="C241" s="500"/>
      <c r="D241" s="500"/>
      <c r="E241" s="500"/>
      <c r="F241" s="500"/>
      <c r="G241" s="500"/>
      <c r="H241" s="500"/>
      <c r="I241" s="500"/>
      <c r="J241" s="501"/>
    </row>
    <row r="242" spans="1:10" ht="14.1" customHeight="1" x14ac:dyDescent="0.2">
      <c r="A242" s="109" t="s">
        <v>1439</v>
      </c>
      <c r="B242" s="499" t="s">
        <v>1440</v>
      </c>
      <c r="C242" s="500"/>
      <c r="D242" s="500"/>
      <c r="E242" s="500"/>
      <c r="F242" s="500"/>
      <c r="G242" s="500"/>
      <c r="H242" s="500"/>
      <c r="I242" s="500"/>
      <c r="J242" s="501"/>
    </row>
    <row r="243" spans="1:10" ht="14.1" customHeight="1" x14ac:dyDescent="0.2">
      <c r="A243" s="109" t="s">
        <v>1441</v>
      </c>
      <c r="B243" s="499" t="s">
        <v>1442</v>
      </c>
      <c r="C243" s="500"/>
      <c r="D243" s="500"/>
      <c r="E243" s="500"/>
      <c r="F243" s="500"/>
      <c r="G243" s="500"/>
      <c r="H243" s="500"/>
      <c r="I243" s="500"/>
      <c r="J243" s="501"/>
    </row>
    <row r="244" spans="1:10" ht="14.1" customHeight="1" x14ac:dyDescent="0.2">
      <c r="A244" s="109" t="s">
        <v>1443</v>
      </c>
      <c r="B244" s="499" t="s">
        <v>1444</v>
      </c>
      <c r="C244" s="500"/>
      <c r="D244" s="500"/>
      <c r="E244" s="500"/>
      <c r="F244" s="500"/>
      <c r="G244" s="500"/>
      <c r="H244" s="500"/>
      <c r="I244" s="500"/>
      <c r="J244" s="501"/>
    </row>
    <row r="245" spans="1:10" ht="14.1" customHeight="1" x14ac:dyDescent="0.2">
      <c r="A245" s="109" t="s">
        <v>1445</v>
      </c>
      <c r="B245" s="499" t="s">
        <v>1446</v>
      </c>
      <c r="C245" s="500"/>
      <c r="D245" s="500"/>
      <c r="E245" s="500"/>
      <c r="F245" s="500"/>
      <c r="G245" s="500"/>
      <c r="H245" s="500"/>
      <c r="I245" s="500"/>
      <c r="J245" s="501"/>
    </row>
    <row r="246" spans="1:10" ht="14.1" customHeight="1" x14ac:dyDescent="0.2">
      <c r="A246" s="109" t="s">
        <v>1447</v>
      </c>
      <c r="B246" s="499" t="s">
        <v>1448</v>
      </c>
      <c r="C246" s="500"/>
      <c r="D246" s="500"/>
      <c r="E246" s="500"/>
      <c r="F246" s="500"/>
      <c r="G246" s="500"/>
      <c r="H246" s="500"/>
      <c r="I246" s="500"/>
      <c r="J246" s="501"/>
    </row>
    <row r="247" spans="1:10" ht="14.1" customHeight="1" x14ac:dyDescent="0.2">
      <c r="A247" s="109" t="s">
        <v>1449</v>
      </c>
      <c r="B247" s="499" t="s">
        <v>403</v>
      </c>
      <c r="C247" s="500"/>
      <c r="D247" s="500"/>
      <c r="E247" s="500"/>
      <c r="F247" s="500"/>
      <c r="G247" s="500"/>
      <c r="H247" s="500"/>
      <c r="I247" s="500"/>
      <c r="J247" s="501"/>
    </row>
    <row r="248" spans="1:10" ht="14.1" customHeight="1" x14ac:dyDescent="0.2">
      <c r="A248" s="109" t="s">
        <v>404</v>
      </c>
      <c r="B248" s="499" t="s">
        <v>2189</v>
      </c>
      <c r="C248" s="500"/>
      <c r="D248" s="500"/>
      <c r="E248" s="500"/>
      <c r="F248" s="500"/>
      <c r="G248" s="500"/>
      <c r="H248" s="500"/>
      <c r="I248" s="500"/>
      <c r="J248" s="501"/>
    </row>
    <row r="249" spans="1:10" ht="14.1" customHeight="1" x14ac:dyDescent="0.2">
      <c r="A249" s="109" t="s">
        <v>2190</v>
      </c>
      <c r="B249" s="499" t="s">
        <v>2191</v>
      </c>
      <c r="C249" s="500"/>
      <c r="D249" s="500"/>
      <c r="E249" s="500"/>
      <c r="F249" s="500"/>
      <c r="G249" s="500"/>
      <c r="H249" s="500"/>
      <c r="I249" s="500"/>
      <c r="J249" s="501"/>
    </row>
    <row r="250" spans="1:10" ht="14.1" customHeight="1" x14ac:dyDescent="0.2">
      <c r="A250" s="109" t="s">
        <v>2192</v>
      </c>
      <c r="B250" s="499" t="s">
        <v>1450</v>
      </c>
      <c r="C250" s="500"/>
      <c r="D250" s="500"/>
      <c r="E250" s="500"/>
      <c r="F250" s="500"/>
      <c r="G250" s="500"/>
      <c r="H250" s="500"/>
      <c r="I250" s="500"/>
      <c r="J250" s="501"/>
    </row>
    <row r="251" spans="1:10" ht="14.1" customHeight="1" x14ac:dyDescent="0.2">
      <c r="A251" s="109" t="s">
        <v>1451</v>
      </c>
      <c r="B251" s="499" t="s">
        <v>1452</v>
      </c>
      <c r="C251" s="500"/>
      <c r="D251" s="500"/>
      <c r="E251" s="500"/>
      <c r="F251" s="500"/>
      <c r="G251" s="500"/>
      <c r="H251" s="500"/>
      <c r="I251" s="500"/>
      <c r="J251" s="501"/>
    </row>
    <row r="252" spans="1:10" ht="14.1" customHeight="1" x14ac:dyDescent="0.2">
      <c r="A252" s="109" t="s">
        <v>1453</v>
      </c>
      <c r="B252" s="499" t="s">
        <v>1454</v>
      </c>
      <c r="C252" s="500"/>
      <c r="D252" s="500"/>
      <c r="E252" s="500"/>
      <c r="F252" s="500"/>
      <c r="G252" s="500"/>
      <c r="H252" s="500"/>
      <c r="I252" s="500"/>
      <c r="J252" s="501"/>
    </row>
    <row r="253" spans="1:10" ht="14.1" customHeight="1" x14ac:dyDescent="0.2">
      <c r="A253" s="109" t="s">
        <v>1455</v>
      </c>
      <c r="B253" s="499" t="s">
        <v>1456</v>
      </c>
      <c r="C253" s="500"/>
      <c r="D253" s="500"/>
      <c r="E253" s="500"/>
      <c r="F253" s="500"/>
      <c r="G253" s="500"/>
      <c r="H253" s="500"/>
      <c r="I253" s="500"/>
      <c r="J253" s="501"/>
    </row>
    <row r="254" spans="1:10" ht="14.1" customHeight="1" x14ac:dyDescent="0.2">
      <c r="A254" s="109" t="s">
        <v>1457</v>
      </c>
      <c r="B254" s="499" t="s">
        <v>1458</v>
      </c>
      <c r="C254" s="500"/>
      <c r="D254" s="500"/>
      <c r="E254" s="500"/>
      <c r="F254" s="500"/>
      <c r="G254" s="500"/>
      <c r="H254" s="500"/>
      <c r="I254" s="500"/>
      <c r="J254" s="501"/>
    </row>
    <row r="255" spans="1:10" ht="14.1" customHeight="1" x14ac:dyDescent="0.2">
      <c r="A255" s="109" t="s">
        <v>1459</v>
      </c>
      <c r="B255" s="499" t="s">
        <v>1460</v>
      </c>
      <c r="C255" s="500"/>
      <c r="D255" s="500"/>
      <c r="E255" s="500"/>
      <c r="F255" s="500"/>
      <c r="G255" s="500"/>
      <c r="H255" s="500"/>
      <c r="I255" s="500"/>
      <c r="J255" s="501"/>
    </row>
    <row r="256" spans="1:10" ht="14.1" customHeight="1" x14ac:dyDescent="0.2">
      <c r="A256" s="109" t="s">
        <v>1461</v>
      </c>
      <c r="B256" s="499" t="s">
        <v>1462</v>
      </c>
      <c r="C256" s="500"/>
      <c r="D256" s="500"/>
      <c r="E256" s="500"/>
      <c r="F256" s="500"/>
      <c r="G256" s="500"/>
      <c r="H256" s="500"/>
      <c r="I256" s="500"/>
      <c r="J256" s="501"/>
    </row>
    <row r="257" spans="1:10" ht="14.1" customHeight="1" x14ac:dyDescent="0.2">
      <c r="A257" s="109" t="s">
        <v>1463</v>
      </c>
      <c r="B257" s="499" t="s">
        <v>1464</v>
      </c>
      <c r="C257" s="500"/>
      <c r="D257" s="500"/>
      <c r="E257" s="500"/>
      <c r="F257" s="500"/>
      <c r="G257" s="500"/>
      <c r="H257" s="500"/>
      <c r="I257" s="500"/>
      <c r="J257" s="501"/>
    </row>
    <row r="258" spans="1:10" ht="14.1" customHeight="1" x14ac:dyDescent="0.2">
      <c r="A258" s="109" t="s">
        <v>1465</v>
      </c>
      <c r="B258" s="499" t="s">
        <v>1466</v>
      </c>
      <c r="C258" s="500"/>
      <c r="D258" s="500"/>
      <c r="E258" s="500"/>
      <c r="F258" s="500"/>
      <c r="G258" s="500"/>
      <c r="H258" s="500"/>
      <c r="I258" s="500"/>
      <c r="J258" s="501"/>
    </row>
    <row r="259" spans="1:10" ht="14.1" customHeight="1" x14ac:dyDescent="0.2">
      <c r="A259" s="109" t="s">
        <v>1467</v>
      </c>
      <c r="B259" s="499" t="s">
        <v>1468</v>
      </c>
      <c r="C259" s="500"/>
      <c r="D259" s="500"/>
      <c r="E259" s="500"/>
      <c r="F259" s="500"/>
      <c r="G259" s="500"/>
      <c r="H259" s="500"/>
      <c r="I259" s="500"/>
      <c r="J259" s="501"/>
    </row>
    <row r="260" spans="1:10" ht="14.1" customHeight="1" x14ac:dyDescent="0.2">
      <c r="A260" s="109" t="s">
        <v>1469</v>
      </c>
      <c r="B260" s="499" t="s">
        <v>1470</v>
      </c>
      <c r="C260" s="500"/>
      <c r="D260" s="500"/>
      <c r="E260" s="500"/>
      <c r="F260" s="500"/>
      <c r="G260" s="500"/>
      <c r="H260" s="500"/>
      <c r="I260" s="500"/>
      <c r="J260" s="501"/>
    </row>
    <row r="261" spans="1:10" ht="14.1" customHeight="1" x14ac:dyDescent="0.2">
      <c r="A261" s="109" t="s">
        <v>1471</v>
      </c>
      <c r="B261" s="499" t="s">
        <v>1472</v>
      </c>
      <c r="C261" s="500"/>
      <c r="D261" s="500"/>
      <c r="E261" s="500"/>
      <c r="F261" s="500"/>
      <c r="G261" s="500"/>
      <c r="H261" s="500"/>
      <c r="I261" s="500"/>
      <c r="J261" s="501"/>
    </row>
    <row r="262" spans="1:10" ht="14.1" customHeight="1" x14ac:dyDescent="0.2">
      <c r="A262" s="109" t="s">
        <v>1473</v>
      </c>
      <c r="B262" s="499" t="s">
        <v>1474</v>
      </c>
      <c r="C262" s="500"/>
      <c r="D262" s="500"/>
      <c r="E262" s="500"/>
      <c r="F262" s="500"/>
      <c r="G262" s="500"/>
      <c r="H262" s="500"/>
      <c r="I262" s="500"/>
      <c r="J262" s="501"/>
    </row>
    <row r="263" spans="1:10" ht="14.1" customHeight="1" x14ac:dyDescent="0.2">
      <c r="A263" s="109" t="s">
        <v>1475</v>
      </c>
      <c r="B263" s="499" t="s">
        <v>1476</v>
      </c>
      <c r="C263" s="500"/>
      <c r="D263" s="500"/>
      <c r="E263" s="500"/>
      <c r="F263" s="500"/>
      <c r="G263" s="500"/>
      <c r="H263" s="500"/>
      <c r="I263" s="500"/>
      <c r="J263" s="501"/>
    </row>
    <row r="264" spans="1:10" ht="14.1" customHeight="1" x14ac:dyDescent="0.2">
      <c r="A264" s="109" t="s">
        <v>1477</v>
      </c>
      <c r="B264" s="499" t="s">
        <v>1478</v>
      </c>
      <c r="C264" s="500"/>
      <c r="D264" s="500"/>
      <c r="E264" s="500"/>
      <c r="F264" s="500"/>
      <c r="G264" s="500"/>
      <c r="H264" s="500"/>
      <c r="I264" s="500"/>
      <c r="J264" s="501"/>
    </row>
    <row r="265" spans="1:10" ht="14.1" customHeight="1" x14ac:dyDescent="0.2">
      <c r="A265" s="109" t="s">
        <v>1479</v>
      </c>
      <c r="B265" s="499" t="s">
        <v>296</v>
      </c>
      <c r="C265" s="500"/>
      <c r="D265" s="500"/>
      <c r="E265" s="500"/>
      <c r="F265" s="500"/>
      <c r="G265" s="500"/>
      <c r="H265" s="500"/>
      <c r="I265" s="500"/>
      <c r="J265" s="501"/>
    </row>
    <row r="266" spans="1:10" ht="14.1" customHeight="1" x14ac:dyDescent="0.2">
      <c r="A266" s="109" t="s">
        <v>297</v>
      </c>
      <c r="B266" s="499" t="s">
        <v>298</v>
      </c>
      <c r="C266" s="500"/>
      <c r="D266" s="500"/>
      <c r="E266" s="500"/>
      <c r="F266" s="500"/>
      <c r="G266" s="500"/>
      <c r="H266" s="500"/>
      <c r="I266" s="500"/>
      <c r="J266" s="501"/>
    </row>
    <row r="267" spans="1:10" ht="14.1" customHeight="1" x14ac:dyDescent="0.2">
      <c r="A267" s="109" t="s">
        <v>299</v>
      </c>
      <c r="B267" s="499" t="s">
        <v>300</v>
      </c>
      <c r="C267" s="500"/>
      <c r="D267" s="500"/>
      <c r="E267" s="500"/>
      <c r="F267" s="500"/>
      <c r="G267" s="500"/>
      <c r="H267" s="500"/>
      <c r="I267" s="500"/>
      <c r="J267" s="501"/>
    </row>
    <row r="268" spans="1:10" ht="14.1" customHeight="1" x14ac:dyDescent="0.2">
      <c r="A268" s="109" t="s">
        <v>301</v>
      </c>
      <c r="B268" s="499" t="s">
        <v>302</v>
      </c>
      <c r="C268" s="500"/>
      <c r="D268" s="500"/>
      <c r="E268" s="500"/>
      <c r="F268" s="500"/>
      <c r="G268" s="500"/>
      <c r="H268" s="500"/>
      <c r="I268" s="500"/>
      <c r="J268" s="501"/>
    </row>
    <row r="269" spans="1:10" ht="14.1" customHeight="1" x14ac:dyDescent="0.2">
      <c r="A269" s="109" t="s">
        <v>303</v>
      </c>
      <c r="B269" s="499" t="s">
        <v>304</v>
      </c>
      <c r="C269" s="500"/>
      <c r="D269" s="500"/>
      <c r="E269" s="500"/>
      <c r="F269" s="500"/>
      <c r="G269" s="500"/>
      <c r="H269" s="500"/>
      <c r="I269" s="500"/>
      <c r="J269" s="501"/>
    </row>
    <row r="270" spans="1:10" ht="14.1" customHeight="1" x14ac:dyDescent="0.2">
      <c r="A270" s="109" t="s">
        <v>305</v>
      </c>
      <c r="B270" s="499" t="s">
        <v>306</v>
      </c>
      <c r="C270" s="500"/>
      <c r="D270" s="500"/>
      <c r="E270" s="500"/>
      <c r="F270" s="500"/>
      <c r="G270" s="500"/>
      <c r="H270" s="500"/>
      <c r="I270" s="500"/>
      <c r="J270" s="501"/>
    </row>
    <row r="271" spans="1:10" ht="14.1" customHeight="1" x14ac:dyDescent="0.2">
      <c r="A271" s="109" t="s">
        <v>307</v>
      </c>
      <c r="B271" s="499" t="s">
        <v>308</v>
      </c>
      <c r="C271" s="500"/>
      <c r="D271" s="500"/>
      <c r="E271" s="500"/>
      <c r="F271" s="500"/>
      <c r="G271" s="500"/>
      <c r="H271" s="500"/>
      <c r="I271" s="500"/>
      <c r="J271" s="501"/>
    </row>
    <row r="272" spans="1:10" ht="14.1" customHeight="1" x14ac:dyDescent="0.2">
      <c r="A272" s="109" t="s">
        <v>309</v>
      </c>
      <c r="B272" s="499" t="s">
        <v>310</v>
      </c>
      <c r="C272" s="500"/>
      <c r="D272" s="500"/>
      <c r="E272" s="500"/>
      <c r="F272" s="500"/>
      <c r="G272" s="500"/>
      <c r="H272" s="500"/>
      <c r="I272" s="500"/>
      <c r="J272" s="501"/>
    </row>
    <row r="273" spans="1:10" ht="14.1" customHeight="1" x14ac:dyDescent="0.2">
      <c r="A273" s="109" t="s">
        <v>311</v>
      </c>
      <c r="B273" s="499" t="s">
        <v>626</v>
      </c>
      <c r="C273" s="500"/>
      <c r="D273" s="500"/>
      <c r="E273" s="500"/>
      <c r="F273" s="500"/>
      <c r="G273" s="500"/>
      <c r="H273" s="500"/>
      <c r="I273" s="500"/>
      <c r="J273" s="501"/>
    </row>
    <row r="274" spans="1:10" ht="14.1" customHeight="1" x14ac:dyDescent="0.2">
      <c r="A274" s="109" t="s">
        <v>627</v>
      </c>
      <c r="B274" s="499" t="s">
        <v>628</v>
      </c>
      <c r="C274" s="500"/>
      <c r="D274" s="500"/>
      <c r="E274" s="500"/>
      <c r="F274" s="500"/>
      <c r="G274" s="500"/>
      <c r="H274" s="500"/>
      <c r="I274" s="500"/>
      <c r="J274" s="501"/>
    </row>
    <row r="275" spans="1:10" ht="14.1" customHeight="1" x14ac:dyDescent="0.2">
      <c r="A275" s="109" t="s">
        <v>629</v>
      </c>
      <c r="B275" s="499" t="s">
        <v>630</v>
      </c>
      <c r="C275" s="500"/>
      <c r="D275" s="500"/>
      <c r="E275" s="500"/>
      <c r="F275" s="500"/>
      <c r="G275" s="500"/>
      <c r="H275" s="500"/>
      <c r="I275" s="500"/>
      <c r="J275" s="501"/>
    </row>
    <row r="276" spans="1:10" ht="14.1" customHeight="1" x14ac:dyDescent="0.2">
      <c r="A276" s="109" t="s">
        <v>631</v>
      </c>
      <c r="B276" s="499" t="s">
        <v>632</v>
      </c>
      <c r="C276" s="500"/>
      <c r="D276" s="500"/>
      <c r="E276" s="500"/>
      <c r="F276" s="500"/>
      <c r="G276" s="500"/>
      <c r="H276" s="500"/>
      <c r="I276" s="500"/>
      <c r="J276" s="501"/>
    </row>
    <row r="277" spans="1:10" ht="14.1" customHeight="1" x14ac:dyDescent="0.2">
      <c r="A277" s="109" t="s">
        <v>633</v>
      </c>
      <c r="B277" s="499" t="s">
        <v>634</v>
      </c>
      <c r="C277" s="500"/>
      <c r="D277" s="500"/>
      <c r="E277" s="500"/>
      <c r="F277" s="500"/>
      <c r="G277" s="500"/>
      <c r="H277" s="500"/>
      <c r="I277" s="500"/>
      <c r="J277" s="501"/>
    </row>
    <row r="278" spans="1:10" ht="14.1" customHeight="1" x14ac:dyDescent="0.2">
      <c r="A278" s="109" t="s">
        <v>635</v>
      </c>
      <c r="B278" s="499" t="s">
        <v>636</v>
      </c>
      <c r="C278" s="500"/>
      <c r="D278" s="500"/>
      <c r="E278" s="500"/>
      <c r="F278" s="500"/>
      <c r="G278" s="500"/>
      <c r="H278" s="500"/>
      <c r="I278" s="500"/>
      <c r="J278" s="501"/>
    </row>
    <row r="279" spans="1:10" ht="14.1" customHeight="1" x14ac:dyDescent="0.2">
      <c r="A279" s="109" t="s">
        <v>637</v>
      </c>
      <c r="B279" s="499" t="s">
        <v>638</v>
      </c>
      <c r="C279" s="500"/>
      <c r="D279" s="500"/>
      <c r="E279" s="500"/>
      <c r="F279" s="500"/>
      <c r="G279" s="500"/>
      <c r="H279" s="500"/>
      <c r="I279" s="500"/>
      <c r="J279" s="501"/>
    </row>
    <row r="280" spans="1:10" ht="14.1" customHeight="1" x14ac:dyDescent="0.2">
      <c r="A280" s="109" t="s">
        <v>639</v>
      </c>
      <c r="B280" s="499" t="s">
        <v>640</v>
      </c>
      <c r="C280" s="500"/>
      <c r="D280" s="500"/>
      <c r="E280" s="500"/>
      <c r="F280" s="500"/>
      <c r="G280" s="500"/>
      <c r="H280" s="500"/>
      <c r="I280" s="500"/>
      <c r="J280" s="501"/>
    </row>
    <row r="281" spans="1:10" ht="14.1" customHeight="1" x14ac:dyDescent="0.2">
      <c r="A281" s="109" t="s">
        <v>641</v>
      </c>
      <c r="B281" s="499" t="s">
        <v>642</v>
      </c>
      <c r="C281" s="500"/>
      <c r="D281" s="500"/>
      <c r="E281" s="500"/>
      <c r="F281" s="500"/>
      <c r="G281" s="500"/>
      <c r="H281" s="500"/>
      <c r="I281" s="500"/>
      <c r="J281" s="501"/>
    </row>
    <row r="282" spans="1:10" ht="14.1" customHeight="1" x14ac:dyDescent="0.2">
      <c r="A282" s="109" t="s">
        <v>643</v>
      </c>
      <c r="B282" s="499" t="s">
        <v>644</v>
      </c>
      <c r="C282" s="500"/>
      <c r="D282" s="500"/>
      <c r="E282" s="500"/>
      <c r="F282" s="500"/>
      <c r="G282" s="500"/>
      <c r="H282" s="500"/>
      <c r="I282" s="500"/>
      <c r="J282" s="501"/>
    </row>
    <row r="283" spans="1:10" ht="14.1" customHeight="1" x14ac:dyDescent="0.2">
      <c r="A283" s="109" t="s">
        <v>645</v>
      </c>
      <c r="B283" s="499" t="s">
        <v>646</v>
      </c>
      <c r="C283" s="500"/>
      <c r="D283" s="500"/>
      <c r="E283" s="500"/>
      <c r="F283" s="500"/>
      <c r="G283" s="500"/>
      <c r="H283" s="500"/>
      <c r="I283" s="500"/>
      <c r="J283" s="501"/>
    </row>
    <row r="284" spans="1:10" ht="14.1" customHeight="1" x14ac:dyDescent="0.2">
      <c r="A284" s="109" t="s">
        <v>647</v>
      </c>
      <c r="B284" s="499" t="s">
        <v>648</v>
      </c>
      <c r="C284" s="500"/>
      <c r="D284" s="500"/>
      <c r="E284" s="500"/>
      <c r="F284" s="500"/>
      <c r="G284" s="500"/>
      <c r="H284" s="500"/>
      <c r="I284" s="500"/>
      <c r="J284" s="501"/>
    </row>
    <row r="285" spans="1:10" ht="14.1" customHeight="1" x14ac:dyDescent="0.2">
      <c r="A285" s="109" t="s">
        <v>649</v>
      </c>
      <c r="B285" s="499" t="s">
        <v>2684</v>
      </c>
      <c r="C285" s="500"/>
      <c r="D285" s="500"/>
      <c r="E285" s="500"/>
      <c r="F285" s="500"/>
      <c r="G285" s="500"/>
      <c r="H285" s="500"/>
      <c r="I285" s="500"/>
      <c r="J285" s="501"/>
    </row>
    <row r="286" spans="1:10" ht="14.1" customHeight="1" x14ac:dyDescent="0.2">
      <c r="A286" s="109" t="s">
        <v>2685</v>
      </c>
      <c r="B286" s="499" t="s">
        <v>2686</v>
      </c>
      <c r="C286" s="500"/>
      <c r="D286" s="500"/>
      <c r="E286" s="500"/>
      <c r="F286" s="500"/>
      <c r="G286" s="500"/>
      <c r="H286" s="500"/>
      <c r="I286" s="500"/>
      <c r="J286" s="501"/>
    </row>
    <row r="287" spans="1:10" ht="14.1" customHeight="1" x14ac:dyDescent="0.2">
      <c r="A287" s="109" t="s">
        <v>2687</v>
      </c>
      <c r="B287" s="499" t="s">
        <v>2688</v>
      </c>
      <c r="C287" s="500"/>
      <c r="D287" s="500"/>
      <c r="E287" s="500"/>
      <c r="F287" s="500"/>
      <c r="G287" s="500"/>
      <c r="H287" s="500"/>
      <c r="I287" s="500"/>
      <c r="J287" s="501"/>
    </row>
    <row r="288" spans="1:10" ht="14.1" customHeight="1" x14ac:dyDescent="0.2">
      <c r="A288" s="109" t="s">
        <v>2689</v>
      </c>
      <c r="B288" s="499" t="s">
        <v>2690</v>
      </c>
      <c r="C288" s="500"/>
      <c r="D288" s="500"/>
      <c r="E288" s="500"/>
      <c r="F288" s="500"/>
      <c r="G288" s="500"/>
      <c r="H288" s="500"/>
      <c r="I288" s="500"/>
      <c r="J288" s="501"/>
    </row>
    <row r="289" spans="1:10" ht="14.1" customHeight="1" x14ac:dyDescent="0.2">
      <c r="A289" s="109" t="s">
        <v>2691</v>
      </c>
      <c r="B289" s="499" t="s">
        <v>2692</v>
      </c>
      <c r="C289" s="500"/>
      <c r="D289" s="500"/>
      <c r="E289" s="500"/>
      <c r="F289" s="500"/>
      <c r="G289" s="500"/>
      <c r="H289" s="500"/>
      <c r="I289" s="500"/>
      <c r="J289" s="501"/>
    </row>
    <row r="290" spans="1:10" ht="14.1" customHeight="1" x14ac:dyDescent="0.2">
      <c r="A290" s="109" t="s">
        <v>2693</v>
      </c>
      <c r="B290" s="499" t="s">
        <v>2694</v>
      </c>
      <c r="C290" s="500"/>
      <c r="D290" s="500"/>
      <c r="E290" s="500"/>
      <c r="F290" s="500"/>
      <c r="G290" s="500"/>
      <c r="H290" s="500"/>
      <c r="I290" s="500"/>
      <c r="J290" s="501"/>
    </row>
    <row r="291" spans="1:10" ht="14.1" customHeight="1" x14ac:dyDescent="0.2">
      <c r="A291" s="109" t="s">
        <v>2695</v>
      </c>
      <c r="B291" s="499" t="s">
        <v>2696</v>
      </c>
      <c r="C291" s="500"/>
      <c r="D291" s="500"/>
      <c r="E291" s="500"/>
      <c r="F291" s="500"/>
      <c r="G291" s="500"/>
      <c r="H291" s="500"/>
      <c r="I291" s="500"/>
      <c r="J291" s="501"/>
    </row>
    <row r="292" spans="1:10" ht="14.1" customHeight="1" x14ac:dyDescent="0.2">
      <c r="A292" s="109" t="s">
        <v>2697</v>
      </c>
      <c r="B292" s="499" t="s">
        <v>2698</v>
      </c>
      <c r="C292" s="500"/>
      <c r="D292" s="500"/>
      <c r="E292" s="500"/>
      <c r="F292" s="500"/>
      <c r="G292" s="500"/>
      <c r="H292" s="500"/>
      <c r="I292" s="500"/>
      <c r="J292" s="501"/>
    </row>
    <row r="293" spans="1:10" ht="14.1" customHeight="1" x14ac:dyDescent="0.2">
      <c r="A293" s="109" t="s">
        <v>1511</v>
      </c>
      <c r="B293" s="499" t="s">
        <v>1512</v>
      </c>
      <c r="C293" s="500"/>
      <c r="D293" s="500"/>
      <c r="E293" s="500"/>
      <c r="F293" s="500"/>
      <c r="G293" s="500"/>
      <c r="H293" s="500"/>
      <c r="I293" s="500"/>
      <c r="J293" s="501"/>
    </row>
    <row r="294" spans="1:10" ht="14.1" customHeight="1" x14ac:dyDescent="0.2">
      <c r="A294" s="109" t="s">
        <v>1513</v>
      </c>
      <c r="B294" s="499" t="s">
        <v>1514</v>
      </c>
      <c r="C294" s="500"/>
      <c r="D294" s="500"/>
      <c r="E294" s="500"/>
      <c r="F294" s="500"/>
      <c r="G294" s="500"/>
      <c r="H294" s="500"/>
      <c r="I294" s="500"/>
      <c r="J294" s="501"/>
    </row>
    <row r="295" spans="1:10" ht="14.1" customHeight="1" x14ac:dyDescent="0.2">
      <c r="A295" s="109" t="s">
        <v>1515</v>
      </c>
      <c r="B295" s="499" t="s">
        <v>1516</v>
      </c>
      <c r="C295" s="500"/>
      <c r="D295" s="500"/>
      <c r="E295" s="500"/>
      <c r="F295" s="500"/>
      <c r="G295" s="500"/>
      <c r="H295" s="500"/>
      <c r="I295" s="500"/>
      <c r="J295" s="501"/>
    </row>
    <row r="296" spans="1:10" ht="14.1" customHeight="1" x14ac:dyDescent="0.2">
      <c r="A296" s="109" t="s">
        <v>1517</v>
      </c>
      <c r="B296" s="499" t="s">
        <v>1518</v>
      </c>
      <c r="C296" s="500"/>
      <c r="D296" s="500"/>
      <c r="E296" s="500"/>
      <c r="F296" s="500"/>
      <c r="G296" s="500"/>
      <c r="H296" s="500"/>
      <c r="I296" s="500"/>
      <c r="J296" s="501"/>
    </row>
    <row r="297" spans="1:10" ht="14.1" customHeight="1" x14ac:dyDescent="0.2">
      <c r="A297" s="109" t="s">
        <v>1519</v>
      </c>
      <c r="B297" s="499" t="s">
        <v>1520</v>
      </c>
      <c r="C297" s="500"/>
      <c r="D297" s="500"/>
      <c r="E297" s="500"/>
      <c r="F297" s="500"/>
      <c r="G297" s="500"/>
      <c r="H297" s="500"/>
      <c r="I297" s="500"/>
      <c r="J297" s="501"/>
    </row>
    <row r="298" spans="1:10" ht="14.1" customHeight="1" x14ac:dyDescent="0.2">
      <c r="A298" s="109" t="s">
        <v>1521</v>
      </c>
      <c r="B298" s="499" t="s">
        <v>1522</v>
      </c>
      <c r="C298" s="500"/>
      <c r="D298" s="500"/>
      <c r="E298" s="500"/>
      <c r="F298" s="500"/>
      <c r="G298" s="500"/>
      <c r="H298" s="500"/>
      <c r="I298" s="500"/>
      <c r="J298" s="501"/>
    </row>
    <row r="299" spans="1:10" ht="14.1" customHeight="1" x14ac:dyDescent="0.2">
      <c r="A299" s="109" t="s">
        <v>1523</v>
      </c>
      <c r="B299" s="499" t="s">
        <v>1524</v>
      </c>
      <c r="C299" s="500"/>
      <c r="D299" s="500"/>
      <c r="E299" s="500"/>
      <c r="F299" s="500"/>
      <c r="G299" s="500"/>
      <c r="H299" s="500"/>
      <c r="I299" s="500"/>
      <c r="J299" s="501"/>
    </row>
    <row r="300" spans="1:10" ht="14.1" customHeight="1" x14ac:dyDescent="0.2">
      <c r="A300" s="109" t="s">
        <v>1525</v>
      </c>
      <c r="B300" s="499" t="s">
        <v>1526</v>
      </c>
      <c r="C300" s="500"/>
      <c r="D300" s="500"/>
      <c r="E300" s="500"/>
      <c r="F300" s="500"/>
      <c r="G300" s="500"/>
      <c r="H300" s="500"/>
      <c r="I300" s="500"/>
      <c r="J300" s="501"/>
    </row>
    <row r="301" spans="1:10" ht="14.1" customHeight="1" x14ac:dyDescent="0.2">
      <c r="A301" s="109" t="s">
        <v>1527</v>
      </c>
      <c r="B301" s="499" t="s">
        <v>1528</v>
      </c>
      <c r="C301" s="500"/>
      <c r="D301" s="500"/>
      <c r="E301" s="500"/>
      <c r="F301" s="500"/>
      <c r="G301" s="500"/>
      <c r="H301" s="500"/>
      <c r="I301" s="500"/>
      <c r="J301" s="501"/>
    </row>
    <row r="302" spans="1:10" ht="14.1" customHeight="1" x14ac:dyDescent="0.2">
      <c r="A302" s="109" t="s">
        <v>1529</v>
      </c>
      <c r="B302" s="499" t="s">
        <v>1530</v>
      </c>
      <c r="C302" s="500"/>
      <c r="D302" s="500"/>
      <c r="E302" s="500"/>
      <c r="F302" s="500"/>
      <c r="G302" s="500"/>
      <c r="H302" s="500"/>
      <c r="I302" s="500"/>
      <c r="J302" s="501"/>
    </row>
    <row r="303" spans="1:10" ht="14.1" customHeight="1" x14ac:dyDescent="0.2">
      <c r="A303" s="109" t="s">
        <v>1531</v>
      </c>
      <c r="B303" s="499" t="s">
        <v>1532</v>
      </c>
      <c r="C303" s="500"/>
      <c r="D303" s="500"/>
      <c r="E303" s="500"/>
      <c r="F303" s="500"/>
      <c r="G303" s="500"/>
      <c r="H303" s="500"/>
      <c r="I303" s="500"/>
      <c r="J303" s="501"/>
    </row>
    <row r="304" spans="1:10" ht="14.1" customHeight="1" x14ac:dyDescent="0.2">
      <c r="A304" s="109" t="s">
        <v>1533</v>
      </c>
      <c r="B304" s="499" t="s">
        <v>1534</v>
      </c>
      <c r="C304" s="500"/>
      <c r="D304" s="500"/>
      <c r="E304" s="500"/>
      <c r="F304" s="500"/>
      <c r="G304" s="500"/>
      <c r="H304" s="500"/>
      <c r="I304" s="500"/>
      <c r="J304" s="501"/>
    </row>
    <row r="305" spans="1:10" ht="14.1" customHeight="1" x14ac:dyDescent="0.2">
      <c r="A305" s="109" t="s">
        <v>1535</v>
      </c>
      <c r="B305" s="499" t="s">
        <v>1536</v>
      </c>
      <c r="C305" s="500"/>
      <c r="D305" s="500"/>
      <c r="E305" s="500"/>
      <c r="F305" s="500"/>
      <c r="G305" s="500"/>
      <c r="H305" s="500"/>
      <c r="I305" s="500"/>
      <c r="J305" s="501"/>
    </row>
    <row r="306" spans="1:10" ht="14.1" customHeight="1" x14ac:dyDescent="0.2">
      <c r="A306" s="109" t="s">
        <v>1537</v>
      </c>
      <c r="B306" s="499" t="s">
        <v>1538</v>
      </c>
      <c r="C306" s="500"/>
      <c r="D306" s="500"/>
      <c r="E306" s="500"/>
      <c r="F306" s="500"/>
      <c r="G306" s="500"/>
      <c r="H306" s="500"/>
      <c r="I306" s="500"/>
      <c r="J306" s="501"/>
    </row>
    <row r="307" spans="1:10" ht="14.1" customHeight="1" x14ac:dyDescent="0.2">
      <c r="A307" s="109" t="s">
        <v>1539</v>
      </c>
      <c r="B307" s="499" t="s">
        <v>650</v>
      </c>
      <c r="C307" s="500"/>
      <c r="D307" s="500"/>
      <c r="E307" s="500"/>
      <c r="F307" s="500"/>
      <c r="G307" s="500"/>
      <c r="H307" s="500"/>
      <c r="I307" s="500"/>
      <c r="J307" s="501"/>
    </row>
    <row r="308" spans="1:10" ht="14.1" customHeight="1" x14ac:dyDescent="0.2">
      <c r="A308" s="109" t="s">
        <v>651</v>
      </c>
      <c r="B308" s="499" t="s">
        <v>652</v>
      </c>
      <c r="C308" s="500"/>
      <c r="D308" s="500"/>
      <c r="E308" s="500"/>
      <c r="F308" s="500"/>
      <c r="G308" s="500"/>
      <c r="H308" s="500"/>
      <c r="I308" s="500"/>
      <c r="J308" s="501"/>
    </row>
    <row r="309" spans="1:10" ht="14.1" customHeight="1" x14ac:dyDescent="0.2">
      <c r="A309" s="109" t="s">
        <v>653</v>
      </c>
      <c r="B309" s="499" t="s">
        <v>654</v>
      </c>
      <c r="C309" s="500"/>
      <c r="D309" s="500"/>
      <c r="E309" s="500"/>
      <c r="F309" s="500"/>
      <c r="G309" s="500"/>
      <c r="H309" s="500"/>
      <c r="I309" s="500"/>
      <c r="J309" s="501"/>
    </row>
    <row r="310" spans="1:10" ht="14.1" customHeight="1" x14ac:dyDescent="0.2">
      <c r="A310" s="109" t="s">
        <v>655</v>
      </c>
      <c r="B310" s="499" t="s">
        <v>656</v>
      </c>
      <c r="C310" s="500"/>
      <c r="D310" s="500"/>
      <c r="E310" s="500"/>
      <c r="F310" s="500"/>
      <c r="G310" s="500"/>
      <c r="H310" s="500"/>
      <c r="I310" s="500"/>
      <c r="J310" s="501"/>
    </row>
    <row r="311" spans="1:10" ht="14.1" customHeight="1" x14ac:dyDescent="0.2">
      <c r="A311" s="109" t="s">
        <v>657</v>
      </c>
      <c r="B311" s="499" t="s">
        <v>1919</v>
      </c>
      <c r="C311" s="500"/>
      <c r="D311" s="500"/>
      <c r="E311" s="500"/>
      <c r="F311" s="500"/>
      <c r="G311" s="500"/>
      <c r="H311" s="500"/>
      <c r="I311" s="500"/>
      <c r="J311" s="501"/>
    </row>
    <row r="312" spans="1:10" ht="14.1" customHeight="1" x14ac:dyDescent="0.2">
      <c r="A312" s="109" t="s">
        <v>1920</v>
      </c>
      <c r="B312" s="499" t="s">
        <v>1921</v>
      </c>
      <c r="C312" s="500"/>
      <c r="D312" s="500"/>
      <c r="E312" s="500"/>
      <c r="F312" s="500"/>
      <c r="G312" s="500"/>
      <c r="H312" s="500"/>
      <c r="I312" s="500"/>
      <c r="J312" s="501"/>
    </row>
    <row r="313" spans="1:10" ht="14.1" customHeight="1" x14ac:dyDescent="0.2">
      <c r="A313" s="109" t="s">
        <v>1922</v>
      </c>
      <c r="B313" s="499" t="s">
        <v>1338</v>
      </c>
      <c r="C313" s="500"/>
      <c r="D313" s="500"/>
      <c r="E313" s="500"/>
      <c r="F313" s="500"/>
      <c r="G313" s="500"/>
      <c r="H313" s="500"/>
      <c r="I313" s="500"/>
      <c r="J313" s="501"/>
    </row>
    <row r="314" spans="1:10" ht="14.1" customHeight="1" x14ac:dyDescent="0.2">
      <c r="A314" s="109" t="s">
        <v>1339</v>
      </c>
      <c r="B314" s="499" t="s">
        <v>1340</v>
      </c>
      <c r="C314" s="500"/>
      <c r="D314" s="500"/>
      <c r="E314" s="500"/>
      <c r="F314" s="500"/>
      <c r="G314" s="500"/>
      <c r="H314" s="500"/>
      <c r="I314" s="500"/>
      <c r="J314" s="501"/>
    </row>
    <row r="315" spans="1:10" ht="14.1" customHeight="1" x14ac:dyDescent="0.2">
      <c r="A315" s="109" t="s">
        <v>1341</v>
      </c>
      <c r="B315" s="499" t="s">
        <v>1342</v>
      </c>
      <c r="C315" s="500"/>
      <c r="D315" s="500"/>
      <c r="E315" s="500"/>
      <c r="F315" s="500"/>
      <c r="G315" s="500"/>
      <c r="H315" s="500"/>
      <c r="I315" s="500"/>
      <c r="J315" s="501"/>
    </row>
    <row r="316" spans="1:10" ht="14.1" customHeight="1" x14ac:dyDescent="0.2">
      <c r="A316" s="109" t="s">
        <v>1343</v>
      </c>
      <c r="B316" s="499" t="s">
        <v>1344</v>
      </c>
      <c r="C316" s="500"/>
      <c r="D316" s="500"/>
      <c r="E316" s="500"/>
      <c r="F316" s="500"/>
      <c r="G316" s="500"/>
      <c r="H316" s="500"/>
      <c r="I316" s="500"/>
      <c r="J316" s="501"/>
    </row>
    <row r="317" spans="1:10" ht="14.1" customHeight="1" x14ac:dyDescent="0.2">
      <c r="A317" s="109" t="s">
        <v>1345</v>
      </c>
      <c r="B317" s="499" t="s">
        <v>1346</v>
      </c>
      <c r="C317" s="500"/>
      <c r="D317" s="500"/>
      <c r="E317" s="500"/>
      <c r="F317" s="500"/>
      <c r="G317" s="500"/>
      <c r="H317" s="500"/>
      <c r="I317" s="500"/>
      <c r="J317" s="501"/>
    </row>
    <row r="318" spans="1:10" ht="14.1" customHeight="1" x14ac:dyDescent="0.2">
      <c r="A318" s="109" t="s">
        <v>1347</v>
      </c>
      <c r="B318" s="499" t="s">
        <v>1348</v>
      </c>
      <c r="C318" s="500"/>
      <c r="D318" s="500"/>
      <c r="E318" s="500"/>
      <c r="F318" s="500"/>
      <c r="G318" s="500"/>
      <c r="H318" s="500"/>
      <c r="I318" s="500"/>
      <c r="J318" s="501"/>
    </row>
    <row r="319" spans="1:10" ht="14.1" customHeight="1" x14ac:dyDescent="0.2">
      <c r="A319" s="109" t="s">
        <v>1349</v>
      </c>
      <c r="B319" s="499" t="s">
        <v>1416</v>
      </c>
      <c r="C319" s="500"/>
      <c r="D319" s="500"/>
      <c r="E319" s="500"/>
      <c r="F319" s="500"/>
      <c r="G319" s="500"/>
      <c r="H319" s="500"/>
      <c r="I319" s="500"/>
      <c r="J319" s="501"/>
    </row>
    <row r="320" spans="1:10" ht="14.1" customHeight="1" x14ac:dyDescent="0.2">
      <c r="A320" s="109" t="s">
        <v>1417</v>
      </c>
      <c r="B320" s="499" t="s">
        <v>1418</v>
      </c>
      <c r="C320" s="500"/>
      <c r="D320" s="500"/>
      <c r="E320" s="500"/>
      <c r="F320" s="500"/>
      <c r="G320" s="500"/>
      <c r="H320" s="500"/>
      <c r="I320" s="500"/>
      <c r="J320" s="501"/>
    </row>
    <row r="321" spans="1:10" ht="14.1" customHeight="1" x14ac:dyDescent="0.2">
      <c r="A321" s="109" t="s">
        <v>1419</v>
      </c>
      <c r="B321" s="499" t="s">
        <v>1420</v>
      </c>
      <c r="C321" s="500"/>
      <c r="D321" s="500"/>
      <c r="E321" s="500"/>
      <c r="F321" s="500"/>
      <c r="G321" s="500"/>
      <c r="H321" s="500"/>
      <c r="I321" s="500"/>
      <c r="J321" s="501"/>
    </row>
    <row r="322" spans="1:10" ht="14.1" customHeight="1" x14ac:dyDescent="0.2">
      <c r="A322" s="109" t="s">
        <v>1421</v>
      </c>
      <c r="B322" s="499" t="s">
        <v>1422</v>
      </c>
      <c r="C322" s="500"/>
      <c r="D322" s="500"/>
      <c r="E322" s="500"/>
      <c r="F322" s="500"/>
      <c r="G322" s="500"/>
      <c r="H322" s="500"/>
      <c r="I322" s="500"/>
      <c r="J322" s="501"/>
    </row>
    <row r="323" spans="1:10" ht="14.1" customHeight="1" x14ac:dyDescent="0.2">
      <c r="A323" s="109" t="s">
        <v>1423</v>
      </c>
      <c r="B323" s="499" t="s">
        <v>1424</v>
      </c>
      <c r="C323" s="500"/>
      <c r="D323" s="500"/>
      <c r="E323" s="500"/>
      <c r="F323" s="500"/>
      <c r="G323" s="500"/>
      <c r="H323" s="500"/>
      <c r="I323" s="500"/>
      <c r="J323" s="501"/>
    </row>
    <row r="324" spans="1:10" ht="14.1" customHeight="1" x14ac:dyDescent="0.2">
      <c r="A324" s="109" t="s">
        <v>1425</v>
      </c>
      <c r="B324" s="499" t="s">
        <v>1426</v>
      </c>
      <c r="C324" s="500"/>
      <c r="D324" s="500"/>
      <c r="E324" s="500"/>
      <c r="F324" s="500"/>
      <c r="G324" s="500"/>
      <c r="H324" s="500"/>
      <c r="I324" s="500"/>
      <c r="J324" s="501"/>
    </row>
    <row r="325" spans="1:10" ht="14.1" customHeight="1" x14ac:dyDescent="0.2">
      <c r="A325" s="109" t="s">
        <v>1427</v>
      </c>
      <c r="B325" s="499" t="s">
        <v>1428</v>
      </c>
      <c r="C325" s="500"/>
      <c r="D325" s="500"/>
      <c r="E325" s="500"/>
      <c r="F325" s="500"/>
      <c r="G325" s="500"/>
      <c r="H325" s="500"/>
      <c r="I325" s="500"/>
      <c r="J325" s="501"/>
    </row>
    <row r="326" spans="1:10" ht="14.1" customHeight="1" x14ac:dyDescent="0.2">
      <c r="A326" s="109" t="s">
        <v>1429</v>
      </c>
      <c r="B326" s="499" t="s">
        <v>1430</v>
      </c>
      <c r="C326" s="500"/>
      <c r="D326" s="500"/>
      <c r="E326" s="500"/>
      <c r="F326" s="500"/>
      <c r="G326" s="500"/>
      <c r="H326" s="500"/>
      <c r="I326" s="500"/>
      <c r="J326" s="501"/>
    </row>
    <row r="327" spans="1:10" ht="14.1" customHeight="1" x14ac:dyDescent="0.2">
      <c r="A327" s="109" t="s">
        <v>1431</v>
      </c>
      <c r="B327" s="499" t="s">
        <v>1432</v>
      </c>
      <c r="C327" s="500"/>
      <c r="D327" s="500"/>
      <c r="E327" s="500"/>
      <c r="F327" s="500"/>
      <c r="G327" s="500"/>
      <c r="H327" s="500"/>
      <c r="I327" s="500"/>
      <c r="J327" s="501"/>
    </row>
    <row r="328" spans="1:10" ht="14.1" customHeight="1" x14ac:dyDescent="0.2">
      <c r="A328" s="109" t="s">
        <v>1433</v>
      </c>
      <c r="B328" s="499" t="s">
        <v>2567</v>
      </c>
      <c r="C328" s="500"/>
      <c r="D328" s="500"/>
      <c r="E328" s="500"/>
      <c r="F328" s="500"/>
      <c r="G328" s="500"/>
      <c r="H328" s="500"/>
      <c r="I328" s="500"/>
      <c r="J328" s="501"/>
    </row>
    <row r="329" spans="1:10" ht="14.1" customHeight="1" x14ac:dyDescent="0.2">
      <c r="A329" s="109" t="s">
        <v>2568</v>
      </c>
      <c r="B329" s="499" t="s">
        <v>2569</v>
      </c>
      <c r="C329" s="500"/>
      <c r="D329" s="500"/>
      <c r="E329" s="500"/>
      <c r="F329" s="500"/>
      <c r="G329" s="500"/>
      <c r="H329" s="500"/>
      <c r="I329" s="500"/>
      <c r="J329" s="501"/>
    </row>
    <row r="330" spans="1:10" ht="14.1" customHeight="1" x14ac:dyDescent="0.2">
      <c r="A330" s="109" t="s">
        <v>2570</v>
      </c>
      <c r="B330" s="499" t="s">
        <v>2571</v>
      </c>
      <c r="C330" s="500"/>
      <c r="D330" s="500"/>
      <c r="E330" s="500"/>
      <c r="F330" s="500"/>
      <c r="G330" s="500"/>
      <c r="H330" s="500"/>
      <c r="I330" s="500"/>
      <c r="J330" s="501"/>
    </row>
    <row r="331" spans="1:10" ht="14.1" customHeight="1" x14ac:dyDescent="0.2">
      <c r="A331" s="109" t="s">
        <v>2572</v>
      </c>
      <c r="B331" s="499" t="s">
        <v>2573</v>
      </c>
      <c r="C331" s="500"/>
      <c r="D331" s="500"/>
      <c r="E331" s="500"/>
      <c r="F331" s="500"/>
      <c r="G331" s="500"/>
      <c r="H331" s="500"/>
      <c r="I331" s="500"/>
      <c r="J331" s="501"/>
    </row>
    <row r="332" spans="1:10" ht="14.1" customHeight="1" x14ac:dyDescent="0.2">
      <c r="A332" s="109" t="s">
        <v>2574</v>
      </c>
      <c r="B332" s="499" t="s">
        <v>2575</v>
      </c>
      <c r="C332" s="500"/>
      <c r="D332" s="500"/>
      <c r="E332" s="500"/>
      <c r="F332" s="500"/>
      <c r="G332" s="500"/>
      <c r="H332" s="500"/>
      <c r="I332" s="500"/>
      <c r="J332" s="501"/>
    </row>
    <row r="333" spans="1:10" ht="14.1" customHeight="1" x14ac:dyDescent="0.2">
      <c r="A333" s="109" t="s">
        <v>2576</v>
      </c>
      <c r="B333" s="499" t="s">
        <v>2577</v>
      </c>
      <c r="C333" s="500"/>
      <c r="D333" s="500"/>
      <c r="E333" s="500"/>
      <c r="F333" s="500"/>
      <c r="G333" s="500"/>
      <c r="H333" s="500"/>
      <c r="I333" s="500"/>
      <c r="J333" s="501"/>
    </row>
    <row r="334" spans="1:10" ht="14.1" customHeight="1" x14ac:dyDescent="0.2">
      <c r="A334" s="109" t="s">
        <v>2578</v>
      </c>
      <c r="B334" s="499" t="s">
        <v>2579</v>
      </c>
      <c r="C334" s="500"/>
      <c r="D334" s="500"/>
      <c r="E334" s="500"/>
      <c r="F334" s="500"/>
      <c r="G334" s="500"/>
      <c r="H334" s="500"/>
      <c r="I334" s="500"/>
      <c r="J334" s="501"/>
    </row>
    <row r="335" spans="1:10" ht="14.1" customHeight="1" x14ac:dyDescent="0.2">
      <c r="A335" s="109" t="s">
        <v>2580</v>
      </c>
      <c r="B335" s="499" t="s">
        <v>2581</v>
      </c>
      <c r="C335" s="500"/>
      <c r="D335" s="500"/>
      <c r="E335" s="500"/>
      <c r="F335" s="500"/>
      <c r="G335" s="500"/>
      <c r="H335" s="500"/>
      <c r="I335" s="500"/>
      <c r="J335" s="501"/>
    </row>
    <row r="336" spans="1:10" ht="14.1" customHeight="1" x14ac:dyDescent="0.2">
      <c r="A336" s="109" t="s">
        <v>2582</v>
      </c>
      <c r="B336" s="499" t="s">
        <v>2583</v>
      </c>
      <c r="C336" s="500"/>
      <c r="D336" s="500"/>
      <c r="E336" s="500"/>
      <c r="F336" s="500"/>
      <c r="G336" s="500"/>
      <c r="H336" s="500"/>
      <c r="I336" s="500"/>
      <c r="J336" s="501"/>
    </row>
    <row r="337" spans="1:10" ht="14.1" customHeight="1" x14ac:dyDescent="0.2">
      <c r="A337" s="109" t="s">
        <v>2584</v>
      </c>
      <c r="B337" s="499" t="s">
        <v>2585</v>
      </c>
      <c r="C337" s="500"/>
      <c r="D337" s="500"/>
      <c r="E337" s="500"/>
      <c r="F337" s="500"/>
      <c r="G337" s="500"/>
      <c r="H337" s="500"/>
      <c r="I337" s="500"/>
      <c r="J337" s="501"/>
    </row>
    <row r="338" spans="1:10" ht="14.1" customHeight="1" x14ac:dyDescent="0.2">
      <c r="A338" s="109" t="s">
        <v>2586</v>
      </c>
      <c r="B338" s="499" t="s">
        <v>2587</v>
      </c>
      <c r="C338" s="500"/>
      <c r="D338" s="500"/>
      <c r="E338" s="500"/>
      <c r="F338" s="500"/>
      <c r="G338" s="500"/>
      <c r="H338" s="500"/>
      <c r="I338" s="500"/>
      <c r="J338" s="501"/>
    </row>
    <row r="339" spans="1:10" ht="14.1" customHeight="1" x14ac:dyDescent="0.2">
      <c r="A339" s="109" t="s">
        <v>2588</v>
      </c>
      <c r="B339" s="499" t="s">
        <v>2589</v>
      </c>
      <c r="C339" s="500"/>
      <c r="D339" s="500"/>
      <c r="E339" s="500"/>
      <c r="F339" s="500"/>
      <c r="G339" s="500"/>
      <c r="H339" s="500"/>
      <c r="I339" s="500"/>
      <c r="J339" s="501"/>
    </row>
    <row r="340" spans="1:10" ht="14.1" customHeight="1" x14ac:dyDescent="0.2">
      <c r="A340" s="109" t="s">
        <v>2590</v>
      </c>
      <c r="B340" s="499" t="s">
        <v>2591</v>
      </c>
      <c r="C340" s="500"/>
      <c r="D340" s="500"/>
      <c r="E340" s="500"/>
      <c r="F340" s="500"/>
      <c r="G340" s="500"/>
      <c r="H340" s="500"/>
      <c r="I340" s="500"/>
      <c r="J340" s="501"/>
    </row>
    <row r="341" spans="1:10" ht="14.1" customHeight="1" x14ac:dyDescent="0.2">
      <c r="A341" s="109" t="s">
        <v>1387</v>
      </c>
      <c r="B341" s="499" t="s">
        <v>1388</v>
      </c>
      <c r="C341" s="500"/>
      <c r="D341" s="500"/>
      <c r="E341" s="500"/>
      <c r="F341" s="500"/>
      <c r="G341" s="500"/>
      <c r="H341" s="500"/>
      <c r="I341" s="500"/>
      <c r="J341" s="501"/>
    </row>
    <row r="342" spans="1:10" ht="14.1" customHeight="1" x14ac:dyDescent="0.2">
      <c r="A342" s="109" t="s">
        <v>1389</v>
      </c>
      <c r="B342" s="499" t="s">
        <v>1390</v>
      </c>
      <c r="C342" s="500"/>
      <c r="D342" s="500"/>
      <c r="E342" s="500"/>
      <c r="F342" s="500"/>
      <c r="G342" s="500"/>
      <c r="H342" s="500"/>
      <c r="I342" s="500"/>
      <c r="J342" s="501"/>
    </row>
    <row r="343" spans="1:10" ht="14.1" customHeight="1" x14ac:dyDescent="0.2">
      <c r="A343" s="109" t="s">
        <v>1391</v>
      </c>
      <c r="B343" s="499" t="s">
        <v>1392</v>
      </c>
      <c r="C343" s="500"/>
      <c r="D343" s="500"/>
      <c r="E343" s="500"/>
      <c r="F343" s="500"/>
      <c r="G343" s="500"/>
      <c r="H343" s="500"/>
      <c r="I343" s="500"/>
      <c r="J343" s="501"/>
    </row>
    <row r="344" spans="1:10" ht="14.1" customHeight="1" x14ac:dyDescent="0.2">
      <c r="A344" s="109" t="s">
        <v>1393</v>
      </c>
      <c r="B344" s="499" t="s">
        <v>170</v>
      </c>
      <c r="C344" s="500"/>
      <c r="D344" s="500"/>
      <c r="E344" s="500"/>
      <c r="F344" s="500"/>
      <c r="G344" s="500"/>
      <c r="H344" s="500"/>
      <c r="I344" s="500"/>
      <c r="J344" s="501"/>
    </row>
    <row r="345" spans="1:10" ht="14.1" customHeight="1" x14ac:dyDescent="0.2">
      <c r="A345" s="109" t="s">
        <v>171</v>
      </c>
      <c r="B345" s="499" t="s">
        <v>172</v>
      </c>
      <c r="C345" s="500"/>
      <c r="D345" s="500"/>
      <c r="E345" s="500"/>
      <c r="F345" s="500"/>
      <c r="G345" s="500"/>
      <c r="H345" s="500"/>
      <c r="I345" s="500"/>
      <c r="J345" s="501"/>
    </row>
    <row r="346" spans="1:10" ht="14.1" customHeight="1" x14ac:dyDescent="0.2">
      <c r="A346" s="109" t="s">
        <v>173</v>
      </c>
      <c r="B346" s="499" t="s">
        <v>174</v>
      </c>
      <c r="C346" s="500"/>
      <c r="D346" s="500"/>
      <c r="E346" s="500"/>
      <c r="F346" s="500"/>
      <c r="G346" s="500"/>
      <c r="H346" s="500"/>
      <c r="I346" s="500"/>
      <c r="J346" s="501"/>
    </row>
    <row r="347" spans="1:10" ht="14.1" customHeight="1" x14ac:dyDescent="0.2">
      <c r="A347" s="109" t="s">
        <v>175</v>
      </c>
      <c r="B347" s="499" t="s">
        <v>176</v>
      </c>
      <c r="C347" s="500"/>
      <c r="D347" s="500"/>
      <c r="E347" s="500"/>
      <c r="F347" s="500"/>
      <c r="G347" s="500"/>
      <c r="H347" s="500"/>
      <c r="I347" s="500"/>
      <c r="J347" s="501"/>
    </row>
    <row r="348" spans="1:10" ht="14.1" customHeight="1" x14ac:dyDescent="0.2">
      <c r="A348" s="109" t="s">
        <v>177</v>
      </c>
      <c r="B348" s="499" t="s">
        <v>178</v>
      </c>
      <c r="C348" s="500"/>
      <c r="D348" s="500"/>
      <c r="E348" s="500"/>
      <c r="F348" s="500"/>
      <c r="G348" s="500"/>
      <c r="H348" s="500"/>
      <c r="I348" s="500"/>
      <c r="J348" s="501"/>
    </row>
    <row r="349" spans="1:10" ht="14.1" customHeight="1" x14ac:dyDescent="0.2">
      <c r="A349" s="109" t="s">
        <v>179</v>
      </c>
      <c r="B349" s="499" t="s">
        <v>180</v>
      </c>
      <c r="C349" s="500"/>
      <c r="D349" s="500"/>
      <c r="E349" s="500"/>
      <c r="F349" s="500"/>
      <c r="G349" s="500"/>
      <c r="H349" s="500"/>
      <c r="I349" s="500"/>
      <c r="J349" s="501"/>
    </row>
    <row r="350" spans="1:10" ht="14.1" customHeight="1" x14ac:dyDescent="0.2">
      <c r="A350" s="109" t="s">
        <v>1080</v>
      </c>
      <c r="B350" s="499" t="s">
        <v>1081</v>
      </c>
      <c r="C350" s="500"/>
      <c r="D350" s="500"/>
      <c r="E350" s="500"/>
      <c r="F350" s="500"/>
      <c r="G350" s="500"/>
      <c r="H350" s="500"/>
      <c r="I350" s="500"/>
      <c r="J350" s="501"/>
    </row>
    <row r="351" spans="1:10" ht="14.1" customHeight="1" x14ac:dyDescent="0.2">
      <c r="A351" s="109" t="s">
        <v>1082</v>
      </c>
      <c r="B351" s="499" t="s">
        <v>1083</v>
      </c>
      <c r="C351" s="500"/>
      <c r="D351" s="500"/>
      <c r="E351" s="500"/>
      <c r="F351" s="500"/>
      <c r="G351" s="500"/>
      <c r="H351" s="500"/>
      <c r="I351" s="500"/>
      <c r="J351" s="501"/>
    </row>
    <row r="352" spans="1:10" ht="14.1" customHeight="1" x14ac:dyDescent="0.2">
      <c r="A352" s="109" t="s">
        <v>1084</v>
      </c>
      <c r="B352" s="499" t="s">
        <v>1085</v>
      </c>
      <c r="C352" s="500"/>
      <c r="D352" s="500"/>
      <c r="E352" s="500"/>
      <c r="F352" s="500"/>
      <c r="G352" s="500"/>
      <c r="H352" s="500"/>
      <c r="I352" s="500"/>
      <c r="J352" s="501"/>
    </row>
    <row r="353" spans="1:10" ht="14.1" customHeight="1" x14ac:dyDescent="0.2">
      <c r="A353" s="109" t="s">
        <v>1086</v>
      </c>
      <c r="B353" s="499" t="s">
        <v>1087</v>
      </c>
      <c r="C353" s="500"/>
      <c r="D353" s="500"/>
      <c r="E353" s="500"/>
      <c r="F353" s="500"/>
      <c r="G353" s="500"/>
      <c r="H353" s="500"/>
      <c r="I353" s="500"/>
      <c r="J353" s="501"/>
    </row>
    <row r="354" spans="1:10" ht="14.1" customHeight="1" x14ac:dyDescent="0.2">
      <c r="A354" s="109" t="s">
        <v>1088</v>
      </c>
      <c r="B354" s="499" t="s">
        <v>1089</v>
      </c>
      <c r="C354" s="500"/>
      <c r="D354" s="500"/>
      <c r="E354" s="500"/>
      <c r="F354" s="500"/>
      <c r="G354" s="500"/>
      <c r="H354" s="500"/>
      <c r="I354" s="500"/>
      <c r="J354" s="501"/>
    </row>
    <row r="355" spans="1:10" ht="14.1" customHeight="1" x14ac:dyDescent="0.2">
      <c r="A355" s="109" t="s">
        <v>1090</v>
      </c>
      <c r="B355" s="499" t="s">
        <v>1091</v>
      </c>
      <c r="C355" s="500"/>
      <c r="D355" s="500"/>
      <c r="E355" s="500"/>
      <c r="F355" s="500"/>
      <c r="G355" s="500"/>
      <c r="H355" s="500"/>
      <c r="I355" s="500"/>
      <c r="J355" s="501"/>
    </row>
    <row r="356" spans="1:10" ht="14.1" customHeight="1" x14ac:dyDescent="0.2">
      <c r="A356" s="109" t="s">
        <v>1092</v>
      </c>
      <c r="B356" s="499" t="s">
        <v>1093</v>
      </c>
      <c r="C356" s="500"/>
      <c r="D356" s="500"/>
      <c r="E356" s="500"/>
      <c r="F356" s="500"/>
      <c r="G356" s="500"/>
      <c r="H356" s="500"/>
      <c r="I356" s="500"/>
      <c r="J356" s="501"/>
    </row>
    <row r="357" spans="1:10" ht="14.1" customHeight="1" x14ac:dyDescent="0.2">
      <c r="A357" s="109" t="s">
        <v>1094</v>
      </c>
      <c r="B357" s="499" t="s">
        <v>1095</v>
      </c>
      <c r="C357" s="500"/>
      <c r="D357" s="500"/>
      <c r="E357" s="500"/>
      <c r="F357" s="500"/>
      <c r="G357" s="500"/>
      <c r="H357" s="500"/>
      <c r="I357" s="500"/>
      <c r="J357" s="501"/>
    </row>
    <row r="358" spans="1:10" ht="14.1" customHeight="1" x14ac:dyDescent="0.2">
      <c r="A358" s="109" t="s">
        <v>1096</v>
      </c>
      <c r="B358" s="499" t="s">
        <v>1097</v>
      </c>
      <c r="C358" s="500"/>
      <c r="D358" s="500"/>
      <c r="E358" s="500"/>
      <c r="F358" s="500"/>
      <c r="G358" s="500"/>
      <c r="H358" s="500"/>
      <c r="I358" s="500"/>
      <c r="J358" s="501"/>
    </row>
    <row r="359" spans="1:10" ht="14.1" customHeight="1" x14ac:dyDescent="0.2">
      <c r="A359" s="109" t="s">
        <v>1098</v>
      </c>
      <c r="B359" s="499" t="s">
        <v>1099</v>
      </c>
      <c r="C359" s="500"/>
      <c r="D359" s="500"/>
      <c r="E359" s="500"/>
      <c r="F359" s="500"/>
      <c r="G359" s="500"/>
      <c r="H359" s="500"/>
      <c r="I359" s="500"/>
      <c r="J359" s="501"/>
    </row>
    <row r="360" spans="1:10" ht="14.1" customHeight="1" x14ac:dyDescent="0.2">
      <c r="A360" s="109" t="s">
        <v>1100</v>
      </c>
      <c r="B360" s="499" t="s">
        <v>1101</v>
      </c>
      <c r="C360" s="500"/>
      <c r="D360" s="500"/>
      <c r="E360" s="500"/>
      <c r="F360" s="500"/>
      <c r="G360" s="500"/>
      <c r="H360" s="500"/>
      <c r="I360" s="500"/>
      <c r="J360" s="501"/>
    </row>
    <row r="361" spans="1:10" ht="14.1" customHeight="1" x14ac:dyDescent="0.2">
      <c r="A361" s="109" t="s">
        <v>1102</v>
      </c>
      <c r="B361" s="499" t="s">
        <v>1103</v>
      </c>
      <c r="C361" s="500"/>
      <c r="D361" s="500"/>
      <c r="E361" s="500"/>
      <c r="F361" s="500"/>
      <c r="G361" s="500"/>
      <c r="H361" s="500"/>
      <c r="I361" s="500"/>
      <c r="J361" s="501"/>
    </row>
    <row r="362" spans="1:10" ht="14.1" customHeight="1" x14ac:dyDescent="0.2">
      <c r="A362" s="109" t="s">
        <v>2027</v>
      </c>
      <c r="B362" s="499" t="s">
        <v>2028</v>
      </c>
      <c r="C362" s="500"/>
      <c r="D362" s="500"/>
      <c r="E362" s="500"/>
      <c r="F362" s="500"/>
      <c r="G362" s="500"/>
      <c r="H362" s="500"/>
      <c r="I362" s="500"/>
      <c r="J362" s="501"/>
    </row>
    <row r="363" spans="1:10" ht="14.1" customHeight="1" x14ac:dyDescent="0.2">
      <c r="A363" s="109" t="s">
        <v>2029</v>
      </c>
      <c r="B363" s="499" t="s">
        <v>2030</v>
      </c>
      <c r="C363" s="500"/>
      <c r="D363" s="500"/>
      <c r="E363" s="500"/>
      <c r="F363" s="500"/>
      <c r="G363" s="500"/>
      <c r="H363" s="500"/>
      <c r="I363" s="500"/>
      <c r="J363" s="501"/>
    </row>
    <row r="364" spans="1:10" ht="14.1" customHeight="1" x14ac:dyDescent="0.2">
      <c r="A364" s="109" t="s">
        <v>2031</v>
      </c>
      <c r="B364" s="499" t="s">
        <v>2032</v>
      </c>
      <c r="C364" s="500"/>
      <c r="D364" s="500"/>
      <c r="E364" s="500"/>
      <c r="F364" s="500"/>
      <c r="G364" s="500"/>
      <c r="H364" s="500"/>
      <c r="I364" s="500"/>
      <c r="J364" s="501"/>
    </row>
    <row r="365" spans="1:10" ht="14.1" customHeight="1" x14ac:dyDescent="0.2">
      <c r="A365" s="109" t="s">
        <v>2033</v>
      </c>
      <c r="B365" s="499" t="s">
        <v>2034</v>
      </c>
      <c r="C365" s="500"/>
      <c r="D365" s="500"/>
      <c r="E365" s="500"/>
      <c r="F365" s="500"/>
      <c r="G365" s="500"/>
      <c r="H365" s="500"/>
      <c r="I365" s="500"/>
      <c r="J365" s="501"/>
    </row>
    <row r="366" spans="1:10" ht="14.1" customHeight="1" x14ac:dyDescent="0.2">
      <c r="A366" s="109" t="s">
        <v>2035</v>
      </c>
      <c r="B366" s="499" t="s">
        <v>2036</v>
      </c>
      <c r="C366" s="500"/>
      <c r="D366" s="500"/>
      <c r="E366" s="500"/>
      <c r="F366" s="500"/>
      <c r="G366" s="500"/>
      <c r="H366" s="500"/>
      <c r="I366" s="500"/>
      <c r="J366" s="501"/>
    </row>
    <row r="367" spans="1:10" ht="14.1" customHeight="1" x14ac:dyDescent="0.2">
      <c r="A367" s="109" t="s">
        <v>2037</v>
      </c>
      <c r="B367" s="499" t="s">
        <v>2438</v>
      </c>
      <c r="C367" s="500"/>
      <c r="D367" s="500"/>
      <c r="E367" s="500"/>
      <c r="F367" s="500"/>
      <c r="G367" s="500"/>
      <c r="H367" s="500"/>
      <c r="I367" s="500"/>
      <c r="J367" s="501"/>
    </row>
    <row r="368" spans="1:10" ht="14.1" customHeight="1" x14ac:dyDescent="0.2">
      <c r="A368" s="109" t="s">
        <v>2439</v>
      </c>
      <c r="B368" s="499" t="s">
        <v>2557</v>
      </c>
      <c r="C368" s="500"/>
      <c r="D368" s="500"/>
      <c r="E368" s="500"/>
      <c r="F368" s="500"/>
      <c r="G368" s="500"/>
      <c r="H368" s="500"/>
      <c r="I368" s="500"/>
      <c r="J368" s="501"/>
    </row>
    <row r="369" spans="1:10" ht="14.1" customHeight="1" x14ac:dyDescent="0.2">
      <c r="A369" s="109" t="s">
        <v>2558</v>
      </c>
      <c r="B369" s="499" t="s">
        <v>2559</v>
      </c>
      <c r="C369" s="500"/>
      <c r="D369" s="500"/>
      <c r="E369" s="500"/>
      <c r="F369" s="500"/>
      <c r="G369" s="500"/>
      <c r="H369" s="500"/>
      <c r="I369" s="500"/>
      <c r="J369" s="501"/>
    </row>
    <row r="370" spans="1:10" ht="14.1" customHeight="1" x14ac:dyDescent="0.2">
      <c r="A370" s="109" t="s">
        <v>2560</v>
      </c>
      <c r="B370" s="499" t="s">
        <v>2561</v>
      </c>
      <c r="C370" s="500"/>
      <c r="D370" s="500"/>
      <c r="E370" s="500"/>
      <c r="F370" s="500"/>
      <c r="G370" s="500"/>
      <c r="H370" s="500"/>
      <c r="I370" s="500"/>
      <c r="J370" s="501"/>
    </row>
    <row r="371" spans="1:10" ht="14.1" customHeight="1" x14ac:dyDescent="0.2">
      <c r="A371" s="109" t="s">
        <v>2562</v>
      </c>
      <c r="B371" s="499" t="s">
        <v>2563</v>
      </c>
      <c r="C371" s="500"/>
      <c r="D371" s="500"/>
      <c r="E371" s="500"/>
      <c r="F371" s="500"/>
      <c r="G371" s="500"/>
      <c r="H371" s="500"/>
      <c r="I371" s="500"/>
      <c r="J371" s="501"/>
    </row>
    <row r="372" spans="1:10" ht="14.1" customHeight="1" x14ac:dyDescent="0.2">
      <c r="A372" s="109" t="s">
        <v>2564</v>
      </c>
      <c r="B372" s="499" t="s">
        <v>2565</v>
      </c>
      <c r="C372" s="500"/>
      <c r="D372" s="500"/>
      <c r="E372" s="500"/>
      <c r="F372" s="500"/>
      <c r="G372" s="500"/>
      <c r="H372" s="500"/>
      <c r="I372" s="500"/>
      <c r="J372" s="501"/>
    </row>
    <row r="373" spans="1:10" ht="14.1" customHeight="1" x14ac:dyDescent="0.2">
      <c r="A373" s="109" t="s">
        <v>2566</v>
      </c>
      <c r="B373" s="499" t="s">
        <v>1186</v>
      </c>
      <c r="C373" s="500"/>
      <c r="D373" s="500"/>
      <c r="E373" s="500"/>
      <c r="F373" s="500"/>
      <c r="G373" s="500"/>
      <c r="H373" s="500"/>
      <c r="I373" s="500"/>
      <c r="J373" s="501"/>
    </row>
    <row r="374" spans="1:10" ht="14.1" customHeight="1" x14ac:dyDescent="0.2">
      <c r="A374" s="109" t="s">
        <v>1187</v>
      </c>
      <c r="B374" s="499" t="s">
        <v>2337</v>
      </c>
      <c r="C374" s="500"/>
      <c r="D374" s="500"/>
      <c r="E374" s="500"/>
      <c r="F374" s="500"/>
      <c r="G374" s="500"/>
      <c r="H374" s="500"/>
      <c r="I374" s="500"/>
      <c r="J374" s="501"/>
    </row>
    <row r="375" spans="1:10" ht="14.1" customHeight="1" x14ac:dyDescent="0.2">
      <c r="A375" s="109" t="s">
        <v>2338</v>
      </c>
      <c r="B375" s="499" t="s">
        <v>2339</v>
      </c>
      <c r="C375" s="500"/>
      <c r="D375" s="500"/>
      <c r="E375" s="500"/>
      <c r="F375" s="500"/>
      <c r="G375" s="500"/>
      <c r="H375" s="500"/>
      <c r="I375" s="500"/>
      <c r="J375" s="501"/>
    </row>
    <row r="376" spans="1:10" ht="14.1" customHeight="1" x14ac:dyDescent="0.2">
      <c r="A376" s="109" t="s">
        <v>2340</v>
      </c>
      <c r="B376" s="499" t="s">
        <v>2341</v>
      </c>
      <c r="C376" s="500"/>
      <c r="D376" s="500"/>
      <c r="E376" s="500"/>
      <c r="F376" s="500"/>
      <c r="G376" s="500"/>
      <c r="H376" s="500"/>
      <c r="I376" s="500"/>
      <c r="J376" s="501"/>
    </row>
    <row r="377" spans="1:10" ht="14.1" customHeight="1" x14ac:dyDescent="0.2">
      <c r="A377" s="109" t="s">
        <v>2342</v>
      </c>
      <c r="B377" s="499" t="s">
        <v>2343</v>
      </c>
      <c r="C377" s="500"/>
      <c r="D377" s="500"/>
      <c r="E377" s="500"/>
      <c r="F377" s="500"/>
      <c r="G377" s="500"/>
      <c r="H377" s="500"/>
      <c r="I377" s="500"/>
      <c r="J377" s="501"/>
    </row>
    <row r="378" spans="1:10" ht="14.1" customHeight="1" x14ac:dyDescent="0.2">
      <c r="A378" s="109" t="s">
        <v>2344</v>
      </c>
      <c r="B378" s="499" t="s">
        <v>2345</v>
      </c>
      <c r="C378" s="500"/>
      <c r="D378" s="500"/>
      <c r="E378" s="500"/>
      <c r="F378" s="500"/>
      <c r="G378" s="500"/>
      <c r="H378" s="500"/>
      <c r="I378" s="500"/>
      <c r="J378" s="501"/>
    </row>
    <row r="379" spans="1:10" ht="14.1" customHeight="1" x14ac:dyDescent="0.2">
      <c r="A379" s="109" t="s">
        <v>2346</v>
      </c>
      <c r="B379" s="499" t="s">
        <v>2347</v>
      </c>
      <c r="C379" s="500"/>
      <c r="D379" s="500"/>
      <c r="E379" s="500"/>
      <c r="F379" s="500"/>
      <c r="G379" s="500"/>
      <c r="H379" s="500"/>
      <c r="I379" s="500"/>
      <c r="J379" s="501"/>
    </row>
    <row r="380" spans="1:10" ht="14.1" customHeight="1" x14ac:dyDescent="0.2">
      <c r="A380" s="109" t="s">
        <v>2348</v>
      </c>
      <c r="B380" s="499" t="s">
        <v>2349</v>
      </c>
      <c r="C380" s="500"/>
      <c r="D380" s="500"/>
      <c r="E380" s="500"/>
      <c r="F380" s="500"/>
      <c r="G380" s="500"/>
      <c r="H380" s="500"/>
      <c r="I380" s="500"/>
      <c r="J380" s="501"/>
    </row>
    <row r="381" spans="1:10" ht="14.1" customHeight="1" x14ac:dyDescent="0.2">
      <c r="A381" s="109" t="s">
        <v>2350</v>
      </c>
      <c r="B381" s="499" t="s">
        <v>2071</v>
      </c>
      <c r="C381" s="500"/>
      <c r="D381" s="500"/>
      <c r="E381" s="500"/>
      <c r="F381" s="500"/>
      <c r="G381" s="500"/>
      <c r="H381" s="500"/>
      <c r="I381" s="500"/>
      <c r="J381" s="501"/>
    </row>
    <row r="382" spans="1:10" ht="14.1" customHeight="1" x14ac:dyDescent="0.2">
      <c r="A382" s="109" t="s">
        <v>2072</v>
      </c>
      <c r="B382" s="499" t="s">
        <v>2073</v>
      </c>
      <c r="C382" s="500"/>
      <c r="D382" s="500"/>
      <c r="E382" s="500"/>
      <c r="F382" s="500"/>
      <c r="G382" s="500"/>
      <c r="H382" s="500"/>
      <c r="I382" s="500"/>
      <c r="J382" s="501"/>
    </row>
    <row r="383" spans="1:10" ht="14.1" customHeight="1" x14ac:dyDescent="0.2">
      <c r="A383" s="109" t="s">
        <v>2074</v>
      </c>
      <c r="B383" s="499" t="s">
        <v>2075</v>
      </c>
      <c r="C383" s="500"/>
      <c r="D383" s="500"/>
      <c r="E383" s="500"/>
      <c r="F383" s="500"/>
      <c r="G383" s="500"/>
      <c r="H383" s="500"/>
      <c r="I383" s="500"/>
      <c r="J383" s="501"/>
    </row>
    <row r="384" spans="1:10" ht="14.1" customHeight="1" x14ac:dyDescent="0.2">
      <c r="A384" s="109" t="s">
        <v>2076</v>
      </c>
      <c r="B384" s="499" t="s">
        <v>2077</v>
      </c>
      <c r="C384" s="500"/>
      <c r="D384" s="500"/>
      <c r="E384" s="500"/>
      <c r="F384" s="500"/>
      <c r="G384" s="500"/>
      <c r="H384" s="500"/>
      <c r="I384" s="500"/>
      <c r="J384" s="501"/>
    </row>
    <row r="385" spans="1:10" ht="14.1" customHeight="1" x14ac:dyDescent="0.2">
      <c r="A385" s="109" t="s">
        <v>2078</v>
      </c>
      <c r="B385" s="499" t="s">
        <v>2079</v>
      </c>
      <c r="C385" s="500"/>
      <c r="D385" s="500"/>
      <c r="E385" s="500"/>
      <c r="F385" s="500"/>
      <c r="G385" s="500"/>
      <c r="H385" s="500"/>
      <c r="I385" s="500"/>
      <c r="J385" s="501"/>
    </row>
    <row r="386" spans="1:10" ht="14.1" customHeight="1" x14ac:dyDescent="0.2">
      <c r="A386" s="109" t="s">
        <v>2080</v>
      </c>
      <c r="B386" s="499" t="s">
        <v>2081</v>
      </c>
      <c r="C386" s="500"/>
      <c r="D386" s="500"/>
      <c r="E386" s="500"/>
      <c r="F386" s="500"/>
      <c r="G386" s="500"/>
      <c r="H386" s="500"/>
      <c r="I386" s="500"/>
      <c r="J386" s="501"/>
    </row>
    <row r="387" spans="1:10" ht="14.1" customHeight="1" x14ac:dyDescent="0.2">
      <c r="A387" s="109" t="s">
        <v>2082</v>
      </c>
      <c r="B387" s="499" t="s">
        <v>847</v>
      </c>
      <c r="C387" s="500"/>
      <c r="D387" s="500"/>
      <c r="E387" s="500"/>
      <c r="F387" s="500"/>
      <c r="G387" s="500"/>
      <c r="H387" s="500"/>
      <c r="I387" s="500"/>
      <c r="J387" s="501"/>
    </row>
    <row r="388" spans="1:10" ht="14.1" customHeight="1" x14ac:dyDescent="0.2">
      <c r="A388" s="109" t="s">
        <v>848</v>
      </c>
      <c r="B388" s="499" t="s">
        <v>849</v>
      </c>
      <c r="C388" s="500"/>
      <c r="D388" s="500"/>
      <c r="E388" s="500"/>
      <c r="F388" s="500"/>
      <c r="G388" s="500"/>
      <c r="H388" s="500"/>
      <c r="I388" s="500"/>
      <c r="J388" s="501"/>
    </row>
    <row r="389" spans="1:10" ht="14.1" customHeight="1" x14ac:dyDescent="0.2">
      <c r="A389" s="109" t="s">
        <v>850</v>
      </c>
      <c r="B389" s="499" t="s">
        <v>1176</v>
      </c>
      <c r="C389" s="500"/>
      <c r="D389" s="500"/>
      <c r="E389" s="500"/>
      <c r="F389" s="500"/>
      <c r="G389" s="500"/>
      <c r="H389" s="500"/>
      <c r="I389" s="500"/>
      <c r="J389" s="501"/>
    </row>
    <row r="390" spans="1:10" ht="14.1" customHeight="1" x14ac:dyDescent="0.2">
      <c r="A390" s="109" t="s">
        <v>1177</v>
      </c>
      <c r="B390" s="499" t="s">
        <v>1178</v>
      </c>
      <c r="C390" s="500"/>
      <c r="D390" s="500"/>
      <c r="E390" s="500"/>
      <c r="F390" s="500"/>
      <c r="G390" s="500"/>
      <c r="H390" s="500"/>
      <c r="I390" s="500"/>
      <c r="J390" s="501"/>
    </row>
    <row r="391" spans="1:10" ht="14.1" customHeight="1" x14ac:dyDescent="0.2">
      <c r="A391" s="109" t="s">
        <v>1179</v>
      </c>
      <c r="B391" s="499" t="s">
        <v>1180</v>
      </c>
      <c r="C391" s="500"/>
      <c r="D391" s="500"/>
      <c r="E391" s="500"/>
      <c r="F391" s="500"/>
      <c r="G391" s="500"/>
      <c r="H391" s="500"/>
      <c r="I391" s="500"/>
      <c r="J391" s="501"/>
    </row>
    <row r="392" spans="1:10" ht="14.1" customHeight="1" x14ac:dyDescent="0.2">
      <c r="A392" s="109" t="s">
        <v>1181</v>
      </c>
      <c r="B392" s="499" t="s">
        <v>1182</v>
      </c>
      <c r="C392" s="500"/>
      <c r="D392" s="500"/>
      <c r="E392" s="500"/>
      <c r="F392" s="500"/>
      <c r="G392" s="500"/>
      <c r="H392" s="500"/>
      <c r="I392" s="500"/>
      <c r="J392" s="501"/>
    </row>
    <row r="393" spans="1:10" ht="14.1" customHeight="1" x14ac:dyDescent="0.2">
      <c r="A393" s="109" t="s">
        <v>1183</v>
      </c>
      <c r="B393" s="499" t="s">
        <v>1184</v>
      </c>
      <c r="C393" s="500"/>
      <c r="D393" s="500"/>
      <c r="E393" s="500"/>
      <c r="F393" s="500"/>
      <c r="G393" s="500"/>
      <c r="H393" s="500"/>
      <c r="I393" s="500"/>
      <c r="J393" s="501"/>
    </row>
    <row r="394" spans="1:10" ht="14.1" customHeight="1" x14ac:dyDescent="0.2">
      <c r="A394" s="109" t="s">
        <v>1185</v>
      </c>
      <c r="B394" s="499" t="s">
        <v>131</v>
      </c>
      <c r="C394" s="500"/>
      <c r="D394" s="500"/>
      <c r="E394" s="500"/>
      <c r="F394" s="500"/>
      <c r="G394" s="500"/>
      <c r="H394" s="500"/>
      <c r="I394" s="500"/>
      <c r="J394" s="501"/>
    </row>
    <row r="395" spans="1:10" ht="14.1" customHeight="1" x14ac:dyDescent="0.2">
      <c r="A395" s="109" t="s">
        <v>132</v>
      </c>
      <c r="B395" s="499" t="s">
        <v>133</v>
      </c>
      <c r="C395" s="500"/>
      <c r="D395" s="500"/>
      <c r="E395" s="500"/>
      <c r="F395" s="500"/>
      <c r="G395" s="500"/>
      <c r="H395" s="500"/>
      <c r="I395" s="500"/>
      <c r="J395" s="501"/>
    </row>
    <row r="396" spans="1:10" ht="14.1" customHeight="1" x14ac:dyDescent="0.2">
      <c r="A396" s="109" t="s">
        <v>134</v>
      </c>
      <c r="B396" s="499" t="s">
        <v>135</v>
      </c>
      <c r="C396" s="500"/>
      <c r="D396" s="500"/>
      <c r="E396" s="500"/>
      <c r="F396" s="500"/>
      <c r="G396" s="500"/>
      <c r="H396" s="500"/>
      <c r="I396" s="500"/>
      <c r="J396" s="501"/>
    </row>
    <row r="397" spans="1:10" ht="14.1" customHeight="1" x14ac:dyDescent="0.2">
      <c r="A397" s="109" t="s">
        <v>136</v>
      </c>
      <c r="B397" s="499" t="s">
        <v>1223</v>
      </c>
      <c r="C397" s="500"/>
      <c r="D397" s="500"/>
      <c r="E397" s="500"/>
      <c r="F397" s="500"/>
      <c r="G397" s="500"/>
      <c r="H397" s="500"/>
      <c r="I397" s="500"/>
      <c r="J397" s="501"/>
    </row>
    <row r="398" spans="1:10" ht="14.1" customHeight="1" x14ac:dyDescent="0.2">
      <c r="A398" s="109" t="s">
        <v>1224</v>
      </c>
      <c r="B398" s="499" t="s">
        <v>874</v>
      </c>
      <c r="C398" s="500"/>
      <c r="D398" s="500"/>
      <c r="E398" s="500"/>
      <c r="F398" s="500"/>
      <c r="G398" s="500"/>
      <c r="H398" s="500"/>
      <c r="I398" s="500"/>
      <c r="J398" s="501"/>
    </row>
    <row r="399" spans="1:10" ht="26.1" customHeight="1" x14ac:dyDescent="0.2">
      <c r="A399" s="109" t="s">
        <v>875</v>
      </c>
      <c r="B399" s="499" t="s">
        <v>876</v>
      </c>
      <c r="C399" s="500"/>
      <c r="D399" s="500"/>
      <c r="E399" s="500"/>
      <c r="F399" s="500"/>
      <c r="G399" s="500"/>
      <c r="H399" s="500"/>
      <c r="I399" s="500"/>
      <c r="J399" s="501"/>
    </row>
    <row r="400" spans="1:10" ht="14.1" customHeight="1" x14ac:dyDescent="0.2">
      <c r="A400" s="109" t="s">
        <v>877</v>
      </c>
      <c r="B400" s="499" t="s">
        <v>878</v>
      </c>
      <c r="C400" s="500"/>
      <c r="D400" s="500"/>
      <c r="E400" s="500"/>
      <c r="F400" s="500"/>
      <c r="G400" s="500"/>
      <c r="H400" s="500"/>
      <c r="I400" s="500"/>
      <c r="J400" s="501"/>
    </row>
    <row r="401" spans="1:10" ht="14.1" customHeight="1" x14ac:dyDescent="0.2">
      <c r="A401" s="109" t="s">
        <v>879</v>
      </c>
      <c r="B401" s="499" t="s">
        <v>397</v>
      </c>
      <c r="C401" s="500"/>
      <c r="D401" s="500"/>
      <c r="E401" s="500"/>
      <c r="F401" s="500"/>
      <c r="G401" s="500"/>
      <c r="H401" s="500"/>
      <c r="I401" s="500"/>
      <c r="J401" s="501"/>
    </row>
    <row r="402" spans="1:10" ht="14.1" customHeight="1" x14ac:dyDescent="0.2">
      <c r="A402" s="109" t="s">
        <v>398</v>
      </c>
      <c r="B402" s="499" t="s">
        <v>399</v>
      </c>
      <c r="C402" s="500"/>
      <c r="D402" s="500"/>
      <c r="E402" s="500"/>
      <c r="F402" s="500"/>
      <c r="G402" s="500"/>
      <c r="H402" s="500"/>
      <c r="I402" s="500"/>
      <c r="J402" s="501"/>
    </row>
    <row r="403" spans="1:10" ht="14.1" customHeight="1" x14ac:dyDescent="0.2">
      <c r="A403" s="109" t="s">
        <v>400</v>
      </c>
      <c r="B403" s="499" t="s">
        <v>401</v>
      </c>
      <c r="C403" s="500"/>
      <c r="D403" s="500"/>
      <c r="E403" s="500"/>
      <c r="F403" s="500"/>
      <c r="G403" s="500"/>
      <c r="H403" s="500"/>
      <c r="I403" s="500"/>
      <c r="J403" s="501"/>
    </row>
    <row r="404" spans="1:10" ht="14.1" customHeight="1" x14ac:dyDescent="0.2">
      <c r="A404" s="109" t="s">
        <v>402</v>
      </c>
      <c r="B404" s="499" t="s">
        <v>2599</v>
      </c>
      <c r="C404" s="500"/>
      <c r="D404" s="500"/>
      <c r="E404" s="500"/>
      <c r="F404" s="500"/>
      <c r="G404" s="500"/>
      <c r="H404" s="500"/>
      <c r="I404" s="500"/>
      <c r="J404" s="501"/>
    </row>
    <row r="405" spans="1:10" ht="14.1" customHeight="1" x14ac:dyDescent="0.2">
      <c r="A405" s="109" t="s">
        <v>2600</v>
      </c>
      <c r="B405" s="499" t="s">
        <v>2601</v>
      </c>
      <c r="C405" s="500"/>
      <c r="D405" s="500"/>
      <c r="E405" s="500"/>
      <c r="F405" s="500"/>
      <c r="G405" s="500"/>
      <c r="H405" s="500"/>
      <c r="I405" s="500"/>
      <c r="J405" s="501"/>
    </row>
    <row r="406" spans="1:10" ht="14.1" customHeight="1" x14ac:dyDescent="0.2">
      <c r="A406" s="109" t="s">
        <v>2602</v>
      </c>
      <c r="B406" s="499" t="s">
        <v>2603</v>
      </c>
      <c r="C406" s="500"/>
      <c r="D406" s="500"/>
      <c r="E406" s="500"/>
      <c r="F406" s="500"/>
      <c r="G406" s="500"/>
      <c r="H406" s="500"/>
      <c r="I406" s="500"/>
      <c r="J406" s="501"/>
    </row>
    <row r="407" spans="1:10" ht="14.1" customHeight="1" x14ac:dyDescent="0.2">
      <c r="A407" s="109" t="s">
        <v>2604</v>
      </c>
      <c r="B407" s="499" t="s">
        <v>2605</v>
      </c>
      <c r="C407" s="500"/>
      <c r="D407" s="500"/>
      <c r="E407" s="500"/>
      <c r="F407" s="500"/>
      <c r="G407" s="500"/>
      <c r="H407" s="500"/>
      <c r="I407" s="500"/>
      <c r="J407" s="501"/>
    </row>
    <row r="408" spans="1:10" ht="14.1" customHeight="1" x14ac:dyDescent="0.2">
      <c r="A408" s="109" t="s">
        <v>2606</v>
      </c>
      <c r="B408" s="499" t="s">
        <v>1201</v>
      </c>
      <c r="C408" s="500"/>
      <c r="D408" s="500"/>
      <c r="E408" s="500"/>
      <c r="F408" s="500"/>
      <c r="G408" s="500"/>
      <c r="H408" s="500"/>
      <c r="I408" s="500"/>
      <c r="J408" s="501"/>
    </row>
    <row r="409" spans="1:10" ht="14.1" customHeight="1" x14ac:dyDescent="0.2">
      <c r="A409" s="109" t="s">
        <v>1202</v>
      </c>
      <c r="B409" s="499" t="s">
        <v>1203</v>
      </c>
      <c r="C409" s="500"/>
      <c r="D409" s="500"/>
      <c r="E409" s="500"/>
      <c r="F409" s="500"/>
      <c r="G409" s="500"/>
      <c r="H409" s="500"/>
      <c r="I409" s="500"/>
      <c r="J409" s="501"/>
    </row>
    <row r="410" spans="1:10" ht="26.1" customHeight="1" x14ac:dyDescent="0.2">
      <c r="A410" s="109" t="s">
        <v>1204</v>
      </c>
      <c r="B410" s="499" t="s">
        <v>1742</v>
      </c>
      <c r="C410" s="500"/>
      <c r="D410" s="500"/>
      <c r="E410" s="500"/>
      <c r="F410" s="500"/>
      <c r="G410" s="500"/>
      <c r="H410" s="500"/>
      <c r="I410" s="500"/>
      <c r="J410" s="501"/>
    </row>
    <row r="411" spans="1:10" ht="14.1" customHeight="1" x14ac:dyDescent="0.2">
      <c r="A411" s="109" t="s">
        <v>1743</v>
      </c>
      <c r="B411" s="499" t="s">
        <v>1744</v>
      </c>
      <c r="C411" s="500"/>
      <c r="D411" s="500"/>
      <c r="E411" s="500"/>
      <c r="F411" s="500"/>
      <c r="G411" s="500"/>
      <c r="H411" s="500"/>
      <c r="I411" s="500"/>
      <c r="J411" s="501"/>
    </row>
    <row r="412" spans="1:10" ht="14.1" customHeight="1" x14ac:dyDescent="0.2">
      <c r="A412" s="109" t="s">
        <v>1745</v>
      </c>
      <c r="B412" s="499" t="s">
        <v>1746</v>
      </c>
      <c r="C412" s="500"/>
      <c r="D412" s="500"/>
      <c r="E412" s="500"/>
      <c r="F412" s="500"/>
      <c r="G412" s="500"/>
      <c r="H412" s="500"/>
      <c r="I412" s="500"/>
      <c r="J412" s="501"/>
    </row>
    <row r="413" spans="1:10" ht="14.1" customHeight="1" x14ac:dyDescent="0.2">
      <c r="A413" s="109" t="s">
        <v>1747</v>
      </c>
      <c r="B413" s="499" t="s">
        <v>1748</v>
      </c>
      <c r="C413" s="500"/>
      <c r="D413" s="500"/>
      <c r="E413" s="500"/>
      <c r="F413" s="500"/>
      <c r="G413" s="500"/>
      <c r="H413" s="500"/>
      <c r="I413" s="500"/>
      <c r="J413" s="501"/>
    </row>
    <row r="414" spans="1:10" ht="14.1" customHeight="1" x14ac:dyDescent="0.2">
      <c r="A414" s="109" t="s">
        <v>1749</v>
      </c>
      <c r="B414" s="499" t="s">
        <v>1750</v>
      </c>
      <c r="C414" s="500"/>
      <c r="D414" s="500"/>
      <c r="E414" s="500"/>
      <c r="F414" s="500"/>
      <c r="G414" s="500"/>
      <c r="H414" s="500"/>
      <c r="I414" s="500"/>
      <c r="J414" s="501"/>
    </row>
    <row r="415" spans="1:10" ht="14.1" customHeight="1" x14ac:dyDescent="0.2">
      <c r="A415" s="109" t="s">
        <v>1751</v>
      </c>
      <c r="B415" s="499" t="s">
        <v>1556</v>
      </c>
      <c r="C415" s="500"/>
      <c r="D415" s="500"/>
      <c r="E415" s="500"/>
      <c r="F415" s="500"/>
      <c r="G415" s="500"/>
      <c r="H415" s="500"/>
      <c r="I415" s="500"/>
      <c r="J415" s="501"/>
    </row>
    <row r="416" spans="1:10" ht="14.1" customHeight="1" x14ac:dyDescent="0.2">
      <c r="A416" s="109" t="s">
        <v>2145</v>
      </c>
      <c r="B416" s="499" t="s">
        <v>2146</v>
      </c>
      <c r="C416" s="500"/>
      <c r="D416" s="500"/>
      <c r="E416" s="500"/>
      <c r="F416" s="500"/>
      <c r="G416" s="500"/>
      <c r="H416" s="500"/>
      <c r="I416" s="500"/>
      <c r="J416" s="501"/>
    </row>
    <row r="417" spans="1:10" ht="14.1" customHeight="1" x14ac:dyDescent="0.2">
      <c r="A417" s="109" t="s">
        <v>2147</v>
      </c>
      <c r="B417" s="499" t="s">
        <v>2148</v>
      </c>
      <c r="C417" s="500"/>
      <c r="D417" s="500"/>
      <c r="E417" s="500"/>
      <c r="F417" s="500"/>
      <c r="G417" s="500"/>
      <c r="H417" s="500"/>
      <c r="I417" s="500"/>
      <c r="J417" s="501"/>
    </row>
    <row r="418" spans="1:10" ht="14.1" customHeight="1" x14ac:dyDescent="0.2">
      <c r="A418" s="109" t="s">
        <v>2149</v>
      </c>
      <c r="B418" s="499" t="s">
        <v>2150</v>
      </c>
      <c r="C418" s="500"/>
      <c r="D418" s="500"/>
      <c r="E418" s="500"/>
      <c r="F418" s="500"/>
      <c r="G418" s="500"/>
      <c r="H418" s="500"/>
      <c r="I418" s="500"/>
      <c r="J418" s="501"/>
    </row>
    <row r="419" spans="1:10" ht="14.1" customHeight="1" x14ac:dyDescent="0.2">
      <c r="A419" s="109" t="s">
        <v>2151</v>
      </c>
      <c r="B419" s="499" t="s">
        <v>2152</v>
      </c>
      <c r="C419" s="500"/>
      <c r="D419" s="500"/>
      <c r="E419" s="500"/>
      <c r="F419" s="500"/>
      <c r="G419" s="500"/>
      <c r="H419" s="500"/>
      <c r="I419" s="500"/>
      <c r="J419" s="501"/>
    </row>
    <row r="420" spans="1:10" ht="14.1" customHeight="1" x14ac:dyDescent="0.2">
      <c r="A420" s="109" t="s">
        <v>2153</v>
      </c>
      <c r="B420" s="499" t="s">
        <v>2154</v>
      </c>
      <c r="C420" s="500"/>
      <c r="D420" s="500"/>
      <c r="E420" s="500"/>
      <c r="F420" s="500"/>
      <c r="G420" s="500"/>
      <c r="H420" s="500"/>
      <c r="I420" s="500"/>
      <c r="J420" s="501"/>
    </row>
    <row r="421" spans="1:10" ht="14.1" customHeight="1" x14ac:dyDescent="0.2">
      <c r="A421" s="109" t="s">
        <v>2155</v>
      </c>
      <c r="B421" s="499" t="s">
        <v>2156</v>
      </c>
      <c r="C421" s="500"/>
      <c r="D421" s="500"/>
      <c r="E421" s="500"/>
      <c r="F421" s="500"/>
      <c r="G421" s="500"/>
      <c r="H421" s="500"/>
      <c r="I421" s="500"/>
      <c r="J421" s="501"/>
    </row>
    <row r="422" spans="1:10" ht="14.1" customHeight="1" x14ac:dyDescent="0.2">
      <c r="A422" s="109" t="s">
        <v>2157</v>
      </c>
      <c r="B422" s="499" t="s">
        <v>2158</v>
      </c>
      <c r="C422" s="500"/>
      <c r="D422" s="500"/>
      <c r="E422" s="500"/>
      <c r="F422" s="500"/>
      <c r="G422" s="500"/>
      <c r="H422" s="500"/>
      <c r="I422" s="500"/>
      <c r="J422" s="501"/>
    </row>
    <row r="423" spans="1:10" ht="14.1" customHeight="1" x14ac:dyDescent="0.2">
      <c r="A423" s="109" t="s">
        <v>2159</v>
      </c>
      <c r="B423" s="499" t="s">
        <v>2160</v>
      </c>
      <c r="C423" s="500"/>
      <c r="D423" s="500"/>
      <c r="E423" s="500"/>
      <c r="F423" s="500"/>
      <c r="G423" s="500"/>
      <c r="H423" s="500"/>
      <c r="I423" s="500"/>
      <c r="J423" s="501"/>
    </row>
    <row r="424" spans="1:10" ht="14.1" customHeight="1" x14ac:dyDescent="0.2">
      <c r="A424" s="109" t="s">
        <v>2161</v>
      </c>
      <c r="B424" s="499" t="s">
        <v>2162</v>
      </c>
      <c r="C424" s="500"/>
      <c r="D424" s="500"/>
      <c r="E424" s="500"/>
      <c r="F424" s="500"/>
      <c r="G424" s="500"/>
      <c r="H424" s="500"/>
      <c r="I424" s="500"/>
      <c r="J424" s="501"/>
    </row>
    <row r="425" spans="1:10" ht="14.1" customHeight="1" x14ac:dyDescent="0.2">
      <c r="A425" s="109" t="s">
        <v>2163</v>
      </c>
      <c r="B425" s="499" t="s">
        <v>2164</v>
      </c>
      <c r="C425" s="500"/>
      <c r="D425" s="500"/>
      <c r="E425" s="500"/>
      <c r="F425" s="500"/>
      <c r="G425" s="500"/>
      <c r="H425" s="500"/>
      <c r="I425" s="500"/>
      <c r="J425" s="501"/>
    </row>
    <row r="426" spans="1:10" ht="14.1" customHeight="1" x14ac:dyDescent="0.2">
      <c r="A426" s="109" t="s">
        <v>2165</v>
      </c>
      <c r="B426" s="499" t="s">
        <v>2166</v>
      </c>
      <c r="C426" s="500"/>
      <c r="D426" s="500"/>
      <c r="E426" s="500"/>
      <c r="F426" s="500"/>
      <c r="G426" s="500"/>
      <c r="H426" s="500"/>
      <c r="I426" s="500"/>
      <c r="J426" s="501"/>
    </row>
    <row r="427" spans="1:10" ht="14.1" customHeight="1" x14ac:dyDescent="0.2">
      <c r="A427" s="109" t="s">
        <v>2167</v>
      </c>
      <c r="B427" s="499" t="s">
        <v>2168</v>
      </c>
      <c r="C427" s="500"/>
      <c r="D427" s="500"/>
      <c r="E427" s="500"/>
      <c r="F427" s="500"/>
      <c r="G427" s="500"/>
      <c r="H427" s="500"/>
      <c r="I427" s="500"/>
      <c r="J427" s="501"/>
    </row>
    <row r="428" spans="1:10" ht="14.1" customHeight="1" x14ac:dyDescent="0.2">
      <c r="A428" s="109" t="s">
        <v>2169</v>
      </c>
      <c r="B428" s="499" t="s">
        <v>2170</v>
      </c>
      <c r="C428" s="500"/>
      <c r="D428" s="500"/>
      <c r="E428" s="500"/>
      <c r="F428" s="500"/>
      <c r="G428" s="500"/>
      <c r="H428" s="500"/>
      <c r="I428" s="500"/>
      <c r="J428" s="501"/>
    </row>
    <row r="429" spans="1:10" ht="14.1" customHeight="1" x14ac:dyDescent="0.2">
      <c r="A429" s="109" t="s">
        <v>2171</v>
      </c>
      <c r="B429" s="499" t="s">
        <v>2172</v>
      </c>
      <c r="C429" s="500"/>
      <c r="D429" s="500"/>
      <c r="E429" s="500"/>
      <c r="F429" s="500"/>
      <c r="G429" s="500"/>
      <c r="H429" s="500"/>
      <c r="I429" s="500"/>
      <c r="J429" s="501"/>
    </row>
    <row r="430" spans="1:10" ht="14.1" customHeight="1" x14ac:dyDescent="0.2">
      <c r="A430" s="109" t="s">
        <v>2173</v>
      </c>
      <c r="B430" s="499" t="s">
        <v>104</v>
      </c>
      <c r="C430" s="500"/>
      <c r="D430" s="500"/>
      <c r="E430" s="500"/>
      <c r="F430" s="500"/>
      <c r="G430" s="500"/>
      <c r="H430" s="500"/>
      <c r="I430" s="500"/>
      <c r="J430" s="501"/>
    </row>
    <row r="431" spans="1:10" ht="14.1" customHeight="1" x14ac:dyDescent="0.2">
      <c r="A431" s="109" t="s">
        <v>105</v>
      </c>
      <c r="B431" s="499" t="s">
        <v>106</v>
      </c>
      <c r="C431" s="500"/>
      <c r="D431" s="500"/>
      <c r="E431" s="500"/>
      <c r="F431" s="500"/>
      <c r="G431" s="500"/>
      <c r="H431" s="500"/>
      <c r="I431" s="500"/>
      <c r="J431" s="501"/>
    </row>
    <row r="432" spans="1:10" ht="14.1" customHeight="1" x14ac:dyDescent="0.2">
      <c r="A432" s="109" t="s">
        <v>107</v>
      </c>
      <c r="B432" s="499" t="s">
        <v>108</v>
      </c>
      <c r="C432" s="500"/>
      <c r="D432" s="500"/>
      <c r="E432" s="500"/>
      <c r="F432" s="500"/>
      <c r="G432" s="500"/>
      <c r="H432" s="500"/>
      <c r="I432" s="500"/>
      <c r="J432" s="501"/>
    </row>
    <row r="433" spans="1:10" ht="14.1" customHeight="1" x14ac:dyDescent="0.2">
      <c r="A433" s="109" t="s">
        <v>109</v>
      </c>
      <c r="B433" s="499" t="s">
        <v>110</v>
      </c>
      <c r="C433" s="500"/>
      <c r="D433" s="500"/>
      <c r="E433" s="500"/>
      <c r="F433" s="500"/>
      <c r="G433" s="500"/>
      <c r="H433" s="500"/>
      <c r="I433" s="500"/>
      <c r="J433" s="501"/>
    </row>
    <row r="434" spans="1:10" ht="14.1" customHeight="1" x14ac:dyDescent="0.2">
      <c r="A434" s="109" t="s">
        <v>111</v>
      </c>
      <c r="B434" s="499" t="s">
        <v>112</v>
      </c>
      <c r="C434" s="500"/>
      <c r="D434" s="500"/>
      <c r="E434" s="500"/>
      <c r="F434" s="500"/>
      <c r="G434" s="500"/>
      <c r="H434" s="500"/>
      <c r="I434" s="500"/>
      <c r="J434" s="501"/>
    </row>
    <row r="435" spans="1:10" ht="14.1" customHeight="1" x14ac:dyDescent="0.2">
      <c r="A435" s="109" t="s">
        <v>113</v>
      </c>
      <c r="B435" s="499" t="s">
        <v>114</v>
      </c>
      <c r="C435" s="500"/>
      <c r="D435" s="500"/>
      <c r="E435" s="500"/>
      <c r="F435" s="500"/>
      <c r="G435" s="500"/>
      <c r="H435" s="500"/>
      <c r="I435" s="500"/>
      <c r="J435" s="501"/>
    </row>
    <row r="436" spans="1:10" ht="14.1" customHeight="1" x14ac:dyDescent="0.2">
      <c r="A436" s="109" t="s">
        <v>115</v>
      </c>
      <c r="B436" s="499" t="s">
        <v>116</v>
      </c>
      <c r="C436" s="500"/>
      <c r="D436" s="500"/>
      <c r="E436" s="500"/>
      <c r="F436" s="500"/>
      <c r="G436" s="500"/>
      <c r="H436" s="500"/>
      <c r="I436" s="500"/>
      <c r="J436" s="501"/>
    </row>
    <row r="437" spans="1:10" ht="14.1" customHeight="1" x14ac:dyDescent="0.2">
      <c r="A437" s="109" t="s">
        <v>117</v>
      </c>
      <c r="B437" s="499" t="s">
        <v>118</v>
      </c>
      <c r="C437" s="500"/>
      <c r="D437" s="500"/>
      <c r="E437" s="500"/>
      <c r="F437" s="500"/>
      <c r="G437" s="500"/>
      <c r="H437" s="500"/>
      <c r="I437" s="500"/>
      <c r="J437" s="501"/>
    </row>
    <row r="438" spans="1:10" ht="14.1" customHeight="1" x14ac:dyDescent="0.2">
      <c r="A438" s="109" t="s">
        <v>119</v>
      </c>
      <c r="B438" s="499" t="s">
        <v>120</v>
      </c>
      <c r="C438" s="500"/>
      <c r="D438" s="500"/>
      <c r="E438" s="500"/>
      <c r="F438" s="500"/>
      <c r="G438" s="500"/>
      <c r="H438" s="500"/>
      <c r="I438" s="500"/>
      <c r="J438" s="501"/>
    </row>
    <row r="439" spans="1:10" ht="14.1" customHeight="1" x14ac:dyDescent="0.2">
      <c r="A439" s="109" t="s">
        <v>121</v>
      </c>
      <c r="B439" s="499" t="s">
        <v>122</v>
      </c>
      <c r="C439" s="500"/>
      <c r="D439" s="500"/>
      <c r="E439" s="500"/>
      <c r="F439" s="500"/>
      <c r="G439" s="500"/>
      <c r="H439" s="500"/>
      <c r="I439" s="500"/>
      <c r="J439" s="501"/>
    </row>
    <row r="440" spans="1:10" ht="14.1" customHeight="1" x14ac:dyDescent="0.2">
      <c r="A440" s="109" t="s">
        <v>123</v>
      </c>
      <c r="B440" s="499" t="s">
        <v>124</v>
      </c>
      <c r="C440" s="500"/>
      <c r="D440" s="500"/>
      <c r="E440" s="500"/>
      <c r="F440" s="500"/>
      <c r="G440" s="500"/>
      <c r="H440" s="500"/>
      <c r="I440" s="500"/>
      <c r="J440" s="501"/>
    </row>
    <row r="441" spans="1:10" ht="14.1" customHeight="1" x14ac:dyDescent="0.2">
      <c r="A441" s="109" t="s">
        <v>125</v>
      </c>
      <c r="B441" s="499" t="s">
        <v>126</v>
      </c>
      <c r="C441" s="500"/>
      <c r="D441" s="500"/>
      <c r="E441" s="500"/>
      <c r="F441" s="500"/>
      <c r="G441" s="500"/>
      <c r="H441" s="500"/>
      <c r="I441" s="500"/>
      <c r="J441" s="501"/>
    </row>
    <row r="442" spans="1:10" ht="14.1" customHeight="1" x14ac:dyDescent="0.2">
      <c r="A442" s="109" t="s">
        <v>127</v>
      </c>
      <c r="B442" s="499" t="s">
        <v>128</v>
      </c>
      <c r="C442" s="500"/>
      <c r="D442" s="500"/>
      <c r="E442" s="500"/>
      <c r="F442" s="500"/>
      <c r="G442" s="500"/>
      <c r="H442" s="500"/>
      <c r="I442" s="500"/>
      <c r="J442" s="501"/>
    </row>
    <row r="443" spans="1:10" ht="14.1" customHeight="1" x14ac:dyDescent="0.2">
      <c r="A443" s="109" t="s">
        <v>129</v>
      </c>
      <c r="B443" s="499" t="s">
        <v>914</v>
      </c>
      <c r="C443" s="500"/>
      <c r="D443" s="500"/>
      <c r="E443" s="500"/>
      <c r="F443" s="500"/>
      <c r="G443" s="500"/>
      <c r="H443" s="500"/>
      <c r="I443" s="500"/>
      <c r="J443" s="501"/>
    </row>
    <row r="444" spans="1:10" ht="14.1" customHeight="1" x14ac:dyDescent="0.2">
      <c r="A444" s="109" t="s">
        <v>915</v>
      </c>
      <c r="B444" s="499" t="s">
        <v>916</v>
      </c>
      <c r="C444" s="500"/>
      <c r="D444" s="500"/>
      <c r="E444" s="500"/>
      <c r="F444" s="500"/>
      <c r="G444" s="500"/>
      <c r="H444" s="500"/>
      <c r="I444" s="500"/>
      <c r="J444" s="501"/>
    </row>
    <row r="445" spans="1:10" ht="14.1" customHeight="1" x14ac:dyDescent="0.2">
      <c r="A445" s="109" t="s">
        <v>917</v>
      </c>
      <c r="B445" s="499" t="s">
        <v>918</v>
      </c>
      <c r="C445" s="500"/>
      <c r="D445" s="500"/>
      <c r="E445" s="500"/>
      <c r="F445" s="500"/>
      <c r="G445" s="500"/>
      <c r="H445" s="500"/>
      <c r="I445" s="500"/>
      <c r="J445" s="501"/>
    </row>
    <row r="446" spans="1:10" ht="14.1" customHeight="1" x14ac:dyDescent="0.2">
      <c r="A446" s="109" t="s">
        <v>919</v>
      </c>
      <c r="B446" s="499" t="s">
        <v>591</v>
      </c>
      <c r="C446" s="500"/>
      <c r="D446" s="500"/>
      <c r="E446" s="500"/>
      <c r="F446" s="500"/>
      <c r="G446" s="500"/>
      <c r="H446" s="500"/>
      <c r="I446" s="500"/>
      <c r="J446" s="501"/>
    </row>
    <row r="447" spans="1:10" ht="14.1" customHeight="1" x14ac:dyDescent="0.2">
      <c r="A447" s="109" t="s">
        <v>592</v>
      </c>
      <c r="B447" s="499" t="s">
        <v>593</v>
      </c>
      <c r="C447" s="500"/>
      <c r="D447" s="500"/>
      <c r="E447" s="500"/>
      <c r="F447" s="500"/>
      <c r="G447" s="500"/>
      <c r="H447" s="500"/>
      <c r="I447" s="500"/>
      <c r="J447" s="501"/>
    </row>
    <row r="448" spans="1:10" ht="14.1" customHeight="1" x14ac:dyDescent="0.2">
      <c r="A448" s="109" t="s">
        <v>594</v>
      </c>
      <c r="B448" s="499" t="s">
        <v>595</v>
      </c>
      <c r="C448" s="500"/>
      <c r="D448" s="500"/>
      <c r="E448" s="500"/>
      <c r="F448" s="500"/>
      <c r="G448" s="500"/>
      <c r="H448" s="500"/>
      <c r="I448" s="500"/>
      <c r="J448" s="501"/>
    </row>
    <row r="449" spans="1:10" ht="14.1" customHeight="1" x14ac:dyDescent="0.2">
      <c r="A449" s="109" t="s">
        <v>596</v>
      </c>
      <c r="B449" s="499" t="s">
        <v>597</v>
      </c>
      <c r="C449" s="500"/>
      <c r="D449" s="500"/>
      <c r="E449" s="500"/>
      <c r="F449" s="500"/>
      <c r="G449" s="500"/>
      <c r="H449" s="500"/>
      <c r="I449" s="500"/>
      <c r="J449" s="501"/>
    </row>
    <row r="450" spans="1:10" ht="14.1" customHeight="1" x14ac:dyDescent="0.2">
      <c r="A450" s="109" t="s">
        <v>598</v>
      </c>
      <c r="B450" s="499" t="s">
        <v>599</v>
      </c>
      <c r="C450" s="500"/>
      <c r="D450" s="500"/>
      <c r="E450" s="500"/>
      <c r="F450" s="500"/>
      <c r="G450" s="500"/>
      <c r="H450" s="500"/>
      <c r="I450" s="500"/>
      <c r="J450" s="501"/>
    </row>
    <row r="451" spans="1:10" ht="14.1" customHeight="1" x14ac:dyDescent="0.2">
      <c r="A451" s="109" t="s">
        <v>600</v>
      </c>
      <c r="B451" s="499" t="s">
        <v>601</v>
      </c>
      <c r="C451" s="500"/>
      <c r="D451" s="500"/>
      <c r="E451" s="500"/>
      <c r="F451" s="500"/>
      <c r="G451" s="500"/>
      <c r="H451" s="500"/>
      <c r="I451" s="500"/>
      <c r="J451" s="501"/>
    </row>
    <row r="452" spans="1:10" ht="14.1" customHeight="1" x14ac:dyDescent="0.2">
      <c r="A452" s="109" t="s">
        <v>602</v>
      </c>
      <c r="B452" s="499" t="s">
        <v>603</v>
      </c>
      <c r="C452" s="500"/>
      <c r="D452" s="500"/>
      <c r="E452" s="500"/>
      <c r="F452" s="500"/>
      <c r="G452" s="500"/>
      <c r="H452" s="500"/>
      <c r="I452" s="500"/>
      <c r="J452" s="501"/>
    </row>
    <row r="453" spans="1:10" ht="14.1" customHeight="1" x14ac:dyDescent="0.2">
      <c r="A453" s="109" t="s">
        <v>604</v>
      </c>
      <c r="B453" s="499" t="s">
        <v>605</v>
      </c>
      <c r="C453" s="500"/>
      <c r="D453" s="500"/>
      <c r="E453" s="500"/>
      <c r="F453" s="500"/>
      <c r="G453" s="500"/>
      <c r="H453" s="500"/>
      <c r="I453" s="500"/>
      <c r="J453" s="501"/>
    </row>
    <row r="454" spans="1:10" ht="14.1" customHeight="1" x14ac:dyDescent="0.2">
      <c r="A454" s="109" t="s">
        <v>606</v>
      </c>
      <c r="B454" s="499" t="s">
        <v>2608</v>
      </c>
      <c r="C454" s="500"/>
      <c r="D454" s="500"/>
      <c r="E454" s="500"/>
      <c r="F454" s="500"/>
      <c r="G454" s="500"/>
      <c r="H454" s="500"/>
      <c r="I454" s="500"/>
      <c r="J454" s="501"/>
    </row>
    <row r="455" spans="1:10" ht="14.1" customHeight="1" x14ac:dyDescent="0.2">
      <c r="A455" s="109" t="s">
        <v>2609</v>
      </c>
      <c r="B455" s="499" t="s">
        <v>2610</v>
      </c>
      <c r="C455" s="500"/>
      <c r="D455" s="500"/>
      <c r="E455" s="500"/>
      <c r="F455" s="500"/>
      <c r="G455" s="500"/>
      <c r="H455" s="500"/>
      <c r="I455" s="500"/>
      <c r="J455" s="501"/>
    </row>
    <row r="456" spans="1:10" ht="14.1" customHeight="1" x14ac:dyDescent="0.2">
      <c r="A456" s="109" t="s">
        <v>2611</v>
      </c>
      <c r="B456" s="499" t="s">
        <v>2612</v>
      </c>
      <c r="C456" s="500"/>
      <c r="D456" s="500"/>
      <c r="E456" s="500"/>
      <c r="F456" s="500"/>
      <c r="G456" s="500"/>
      <c r="H456" s="500"/>
      <c r="I456" s="500"/>
      <c r="J456" s="501"/>
    </row>
    <row r="457" spans="1:10" ht="14.1" customHeight="1" x14ac:dyDescent="0.2">
      <c r="A457" s="109" t="s">
        <v>2613</v>
      </c>
      <c r="B457" s="499" t="s">
        <v>2115</v>
      </c>
      <c r="C457" s="500"/>
      <c r="D457" s="500"/>
      <c r="E457" s="500"/>
      <c r="F457" s="500"/>
      <c r="G457" s="500"/>
      <c r="H457" s="500"/>
      <c r="I457" s="500"/>
      <c r="J457" s="501"/>
    </row>
    <row r="458" spans="1:10" ht="14.1" customHeight="1" x14ac:dyDescent="0.2">
      <c r="A458" s="109" t="s">
        <v>2116</v>
      </c>
      <c r="B458" s="499" t="s">
        <v>2117</v>
      </c>
      <c r="C458" s="500"/>
      <c r="D458" s="500"/>
      <c r="E458" s="500"/>
      <c r="F458" s="500"/>
      <c r="G458" s="500"/>
      <c r="H458" s="500"/>
      <c r="I458" s="500"/>
      <c r="J458" s="501"/>
    </row>
    <row r="459" spans="1:10" ht="14.1" customHeight="1" x14ac:dyDescent="0.2">
      <c r="A459" s="109" t="s">
        <v>2118</v>
      </c>
      <c r="B459" s="499" t="s">
        <v>2119</v>
      </c>
      <c r="C459" s="500"/>
      <c r="D459" s="500"/>
      <c r="E459" s="500"/>
      <c r="F459" s="500"/>
      <c r="G459" s="500"/>
      <c r="H459" s="500"/>
      <c r="I459" s="500"/>
      <c r="J459" s="501"/>
    </row>
    <row r="460" spans="1:10" ht="14.1" customHeight="1" x14ac:dyDescent="0.2">
      <c r="A460" s="109" t="s">
        <v>2120</v>
      </c>
      <c r="B460" s="499" t="s">
        <v>2121</v>
      </c>
      <c r="C460" s="500"/>
      <c r="D460" s="500"/>
      <c r="E460" s="500"/>
      <c r="F460" s="500"/>
      <c r="G460" s="500"/>
      <c r="H460" s="500"/>
      <c r="I460" s="500"/>
      <c r="J460" s="501"/>
    </row>
    <row r="461" spans="1:10" ht="14.1" customHeight="1" x14ac:dyDescent="0.2">
      <c r="A461" s="109" t="s">
        <v>2122</v>
      </c>
      <c r="B461" s="499" t="s">
        <v>2123</v>
      </c>
      <c r="C461" s="500"/>
      <c r="D461" s="500"/>
      <c r="E461" s="500"/>
      <c r="F461" s="500"/>
      <c r="G461" s="500"/>
      <c r="H461" s="500"/>
      <c r="I461" s="500"/>
      <c r="J461" s="501"/>
    </row>
    <row r="462" spans="1:10" ht="14.1" customHeight="1" x14ac:dyDescent="0.2">
      <c r="A462" s="109" t="s">
        <v>2124</v>
      </c>
      <c r="B462" s="499" t="s">
        <v>2125</v>
      </c>
      <c r="C462" s="500"/>
      <c r="D462" s="500"/>
      <c r="E462" s="500"/>
      <c r="F462" s="500"/>
      <c r="G462" s="500"/>
      <c r="H462" s="500"/>
      <c r="I462" s="500"/>
      <c r="J462" s="501"/>
    </row>
    <row r="463" spans="1:10" ht="14.1" customHeight="1" x14ac:dyDescent="0.2">
      <c r="A463" s="109" t="s">
        <v>2126</v>
      </c>
      <c r="B463" s="499" t="s">
        <v>2127</v>
      </c>
      <c r="C463" s="500"/>
      <c r="D463" s="500"/>
      <c r="E463" s="500"/>
      <c r="F463" s="500"/>
      <c r="G463" s="500"/>
      <c r="H463" s="500"/>
      <c r="I463" s="500"/>
      <c r="J463" s="501"/>
    </row>
    <row r="464" spans="1:10" ht="14.1" customHeight="1" x14ac:dyDescent="0.2">
      <c r="A464" s="109" t="s">
        <v>2128</v>
      </c>
      <c r="B464" s="499" t="s">
        <v>2129</v>
      </c>
      <c r="C464" s="500"/>
      <c r="D464" s="500"/>
      <c r="E464" s="500"/>
      <c r="F464" s="500"/>
      <c r="G464" s="500"/>
      <c r="H464" s="500"/>
      <c r="I464" s="500"/>
      <c r="J464" s="501"/>
    </row>
    <row r="465" spans="1:10" ht="14.1" customHeight="1" x14ac:dyDescent="0.2">
      <c r="A465" s="109" t="s">
        <v>2130</v>
      </c>
      <c r="B465" s="499" t="s">
        <v>2131</v>
      </c>
      <c r="C465" s="500"/>
      <c r="D465" s="500"/>
      <c r="E465" s="500"/>
      <c r="F465" s="500"/>
      <c r="G465" s="500"/>
      <c r="H465" s="500"/>
      <c r="I465" s="500"/>
      <c r="J465" s="501"/>
    </row>
    <row r="466" spans="1:10" ht="14.1" customHeight="1" x14ac:dyDescent="0.2">
      <c r="A466" s="109" t="s">
        <v>2132</v>
      </c>
      <c r="B466" s="499" t="s">
        <v>2133</v>
      </c>
      <c r="C466" s="500"/>
      <c r="D466" s="500"/>
      <c r="E466" s="500"/>
      <c r="F466" s="500"/>
      <c r="G466" s="500"/>
      <c r="H466" s="500"/>
      <c r="I466" s="500"/>
      <c r="J466" s="501"/>
    </row>
    <row r="467" spans="1:10" ht="14.1" customHeight="1" x14ac:dyDescent="0.2">
      <c r="A467" s="109" t="s">
        <v>2134</v>
      </c>
      <c r="B467" s="499" t="s">
        <v>2135</v>
      </c>
      <c r="C467" s="500"/>
      <c r="D467" s="500"/>
      <c r="E467" s="500"/>
      <c r="F467" s="500"/>
      <c r="G467" s="500"/>
      <c r="H467" s="500"/>
      <c r="I467" s="500"/>
      <c r="J467" s="501"/>
    </row>
    <row r="468" spans="1:10" ht="14.1" customHeight="1" x14ac:dyDescent="0.2">
      <c r="A468" s="109" t="s">
        <v>2136</v>
      </c>
      <c r="B468" s="499" t="s">
        <v>2137</v>
      </c>
      <c r="C468" s="500"/>
      <c r="D468" s="500"/>
      <c r="E468" s="500"/>
      <c r="F468" s="500"/>
      <c r="G468" s="500"/>
      <c r="H468" s="500"/>
      <c r="I468" s="500"/>
      <c r="J468" s="501"/>
    </row>
    <row r="469" spans="1:10" ht="14.1" customHeight="1" x14ac:dyDescent="0.2">
      <c r="A469" s="109" t="s">
        <v>2138</v>
      </c>
      <c r="B469" s="499" t="s">
        <v>2139</v>
      </c>
      <c r="C469" s="500"/>
      <c r="D469" s="500"/>
      <c r="E469" s="500"/>
      <c r="F469" s="500"/>
      <c r="G469" s="500"/>
      <c r="H469" s="500"/>
      <c r="I469" s="500"/>
      <c r="J469" s="501"/>
    </row>
    <row r="470" spans="1:10" ht="14.1" customHeight="1" x14ac:dyDescent="0.2">
      <c r="A470" s="109" t="s">
        <v>2140</v>
      </c>
      <c r="B470" s="499" t="s">
        <v>2141</v>
      </c>
      <c r="C470" s="500"/>
      <c r="D470" s="500"/>
      <c r="E470" s="500"/>
      <c r="F470" s="500"/>
      <c r="G470" s="500"/>
      <c r="H470" s="500"/>
      <c r="I470" s="500"/>
      <c r="J470" s="501"/>
    </row>
    <row r="471" spans="1:10" ht="14.1" customHeight="1" x14ac:dyDescent="0.2">
      <c r="A471" s="109" t="s">
        <v>2142</v>
      </c>
      <c r="B471" s="499" t="s">
        <v>2143</v>
      </c>
      <c r="C471" s="500"/>
      <c r="D471" s="500"/>
      <c r="E471" s="500"/>
      <c r="F471" s="500"/>
      <c r="G471" s="500"/>
      <c r="H471" s="500"/>
      <c r="I471" s="500"/>
      <c r="J471" s="501"/>
    </row>
    <row r="472" spans="1:10" ht="14.1" customHeight="1" x14ac:dyDescent="0.2">
      <c r="A472" s="109" t="s">
        <v>2144</v>
      </c>
      <c r="B472" s="499" t="s">
        <v>1482</v>
      </c>
      <c r="C472" s="500"/>
      <c r="D472" s="500"/>
      <c r="E472" s="500"/>
      <c r="F472" s="500"/>
      <c r="G472" s="500"/>
      <c r="H472" s="500"/>
      <c r="I472" s="500"/>
      <c r="J472" s="501"/>
    </row>
    <row r="473" spans="1:10" ht="14.1" customHeight="1" x14ac:dyDescent="0.2">
      <c r="A473" s="109" t="s">
        <v>1483</v>
      </c>
      <c r="B473" s="499" t="s">
        <v>1793</v>
      </c>
      <c r="C473" s="500"/>
      <c r="D473" s="500"/>
      <c r="E473" s="500"/>
      <c r="F473" s="500"/>
      <c r="G473" s="500"/>
      <c r="H473" s="500"/>
      <c r="I473" s="500"/>
      <c r="J473" s="501"/>
    </row>
    <row r="474" spans="1:10" ht="14.1" customHeight="1" x14ac:dyDescent="0.2">
      <c r="A474" s="109" t="s">
        <v>1794</v>
      </c>
      <c r="B474" s="499" t="s">
        <v>1795</v>
      </c>
      <c r="C474" s="500"/>
      <c r="D474" s="500"/>
      <c r="E474" s="500"/>
      <c r="F474" s="500"/>
      <c r="G474" s="500"/>
      <c r="H474" s="500"/>
      <c r="I474" s="500"/>
      <c r="J474" s="501"/>
    </row>
    <row r="475" spans="1:10" ht="14.1" customHeight="1" x14ac:dyDescent="0.2">
      <c r="A475" s="109" t="s">
        <v>1796</v>
      </c>
      <c r="B475" s="499" t="s">
        <v>1797</v>
      </c>
      <c r="C475" s="500"/>
      <c r="D475" s="500"/>
      <c r="E475" s="500"/>
      <c r="F475" s="500"/>
      <c r="G475" s="500"/>
      <c r="H475" s="500"/>
      <c r="I475" s="500"/>
      <c r="J475" s="501"/>
    </row>
    <row r="476" spans="1:10" ht="14.1" customHeight="1" x14ac:dyDescent="0.2">
      <c r="A476" s="109" t="s">
        <v>1798</v>
      </c>
      <c r="B476" s="499" t="s">
        <v>1799</v>
      </c>
      <c r="C476" s="500"/>
      <c r="D476" s="500"/>
      <c r="E476" s="500"/>
      <c r="F476" s="500"/>
      <c r="G476" s="500"/>
      <c r="H476" s="500"/>
      <c r="I476" s="500"/>
      <c r="J476" s="501"/>
    </row>
    <row r="477" spans="1:10" ht="14.1" customHeight="1" x14ac:dyDescent="0.2">
      <c r="A477" s="109" t="s">
        <v>1800</v>
      </c>
      <c r="B477" s="499" t="s">
        <v>1801</v>
      </c>
      <c r="C477" s="500"/>
      <c r="D477" s="500"/>
      <c r="E477" s="500"/>
      <c r="F477" s="500"/>
      <c r="G477" s="500"/>
      <c r="H477" s="500"/>
      <c r="I477" s="500"/>
      <c r="J477" s="501"/>
    </row>
    <row r="478" spans="1:10" ht="14.1" customHeight="1" x14ac:dyDescent="0.2">
      <c r="A478" s="109" t="s">
        <v>1802</v>
      </c>
      <c r="B478" s="499" t="s">
        <v>1803</v>
      </c>
      <c r="C478" s="500"/>
      <c r="D478" s="500"/>
      <c r="E478" s="500"/>
      <c r="F478" s="500"/>
      <c r="G478" s="500"/>
      <c r="H478" s="500"/>
      <c r="I478" s="500"/>
      <c r="J478" s="501"/>
    </row>
    <row r="479" spans="1:10" ht="14.1" customHeight="1" x14ac:dyDescent="0.2">
      <c r="A479" s="109" t="s">
        <v>1804</v>
      </c>
      <c r="B479" s="499" t="s">
        <v>1805</v>
      </c>
      <c r="C479" s="500"/>
      <c r="D479" s="500"/>
      <c r="E479" s="500"/>
      <c r="F479" s="500"/>
      <c r="G479" s="500"/>
      <c r="H479" s="500"/>
      <c r="I479" s="500"/>
      <c r="J479" s="501"/>
    </row>
    <row r="480" spans="1:10" ht="14.1" customHeight="1" x14ac:dyDescent="0.2">
      <c r="A480" s="109" t="s">
        <v>1806</v>
      </c>
      <c r="B480" s="499" t="s">
        <v>1807</v>
      </c>
      <c r="C480" s="500"/>
      <c r="D480" s="500"/>
      <c r="E480" s="500"/>
      <c r="F480" s="500"/>
      <c r="G480" s="500"/>
      <c r="H480" s="500"/>
      <c r="I480" s="500"/>
      <c r="J480" s="501"/>
    </row>
    <row r="481" spans="1:10" ht="14.1" customHeight="1" x14ac:dyDescent="0.2">
      <c r="A481" s="109" t="s">
        <v>1808</v>
      </c>
      <c r="B481" s="499" t="s">
        <v>1809</v>
      </c>
      <c r="C481" s="500"/>
      <c r="D481" s="500"/>
      <c r="E481" s="500"/>
      <c r="F481" s="500"/>
      <c r="G481" s="500"/>
      <c r="H481" s="500"/>
      <c r="I481" s="500"/>
      <c r="J481" s="501"/>
    </row>
    <row r="482" spans="1:10" ht="14.1" customHeight="1" x14ac:dyDescent="0.2">
      <c r="A482" s="109" t="s">
        <v>1810</v>
      </c>
      <c r="B482" s="499" t="s">
        <v>1811</v>
      </c>
      <c r="C482" s="500"/>
      <c r="D482" s="500"/>
      <c r="E482" s="500"/>
      <c r="F482" s="500"/>
      <c r="G482" s="500"/>
      <c r="H482" s="500"/>
      <c r="I482" s="500"/>
      <c r="J482" s="501"/>
    </row>
    <row r="483" spans="1:10" ht="14.1" customHeight="1" x14ac:dyDescent="0.2">
      <c r="A483" s="109" t="s">
        <v>1812</v>
      </c>
      <c r="B483" s="499" t="s">
        <v>561</v>
      </c>
      <c r="C483" s="500"/>
      <c r="D483" s="500"/>
      <c r="E483" s="500"/>
      <c r="F483" s="500"/>
      <c r="G483" s="500"/>
      <c r="H483" s="500"/>
      <c r="I483" s="500"/>
      <c r="J483" s="501"/>
    </row>
    <row r="484" spans="1:10" ht="14.1" customHeight="1" x14ac:dyDescent="0.2">
      <c r="A484" s="109" t="s">
        <v>562</v>
      </c>
      <c r="B484" s="499" t="s">
        <v>563</v>
      </c>
      <c r="C484" s="500"/>
      <c r="D484" s="500"/>
      <c r="E484" s="500"/>
      <c r="F484" s="500"/>
      <c r="G484" s="500"/>
      <c r="H484" s="500"/>
      <c r="I484" s="500"/>
      <c r="J484" s="501"/>
    </row>
    <row r="485" spans="1:10" ht="14.1" customHeight="1" x14ac:dyDescent="0.2">
      <c r="A485" s="109" t="s">
        <v>564</v>
      </c>
      <c r="B485" s="499" t="s">
        <v>565</v>
      </c>
      <c r="C485" s="500"/>
      <c r="D485" s="500"/>
      <c r="E485" s="500"/>
      <c r="F485" s="500"/>
      <c r="G485" s="500"/>
      <c r="H485" s="500"/>
      <c r="I485" s="500"/>
      <c r="J485" s="501"/>
    </row>
    <row r="486" spans="1:10" ht="14.1" customHeight="1" x14ac:dyDescent="0.2">
      <c r="A486" s="109" t="s">
        <v>1369</v>
      </c>
      <c r="B486" s="499" t="s">
        <v>1370</v>
      </c>
      <c r="C486" s="500"/>
      <c r="D486" s="500"/>
      <c r="E486" s="500"/>
      <c r="F486" s="500"/>
      <c r="G486" s="500"/>
      <c r="H486" s="500"/>
      <c r="I486" s="500"/>
      <c r="J486" s="501"/>
    </row>
    <row r="487" spans="1:10" ht="14.1" customHeight="1" x14ac:dyDescent="0.2">
      <c r="A487" s="109" t="s">
        <v>1371</v>
      </c>
      <c r="B487" s="499" t="s">
        <v>1372</v>
      </c>
      <c r="C487" s="500"/>
      <c r="D487" s="500"/>
      <c r="E487" s="500"/>
      <c r="F487" s="500"/>
      <c r="G487" s="500"/>
      <c r="H487" s="500"/>
      <c r="I487" s="500"/>
      <c r="J487" s="501"/>
    </row>
    <row r="488" spans="1:10" ht="14.1" customHeight="1" x14ac:dyDescent="0.2">
      <c r="A488" s="109" t="s">
        <v>233</v>
      </c>
      <c r="B488" s="499" t="s">
        <v>2274</v>
      </c>
      <c r="C488" s="500"/>
      <c r="D488" s="500"/>
      <c r="E488" s="500"/>
      <c r="F488" s="500"/>
      <c r="G488" s="500"/>
      <c r="H488" s="500"/>
      <c r="I488" s="500"/>
      <c r="J488" s="501"/>
    </row>
    <row r="489" spans="1:10" ht="14.1" customHeight="1" x14ac:dyDescent="0.2">
      <c r="A489" s="109" t="s">
        <v>2275</v>
      </c>
      <c r="B489" s="499" t="s">
        <v>2276</v>
      </c>
      <c r="C489" s="500"/>
      <c r="D489" s="500"/>
      <c r="E489" s="500"/>
      <c r="F489" s="500"/>
      <c r="G489" s="500"/>
      <c r="H489" s="500"/>
      <c r="I489" s="500"/>
      <c r="J489" s="501"/>
    </row>
    <row r="490" spans="1:10" ht="14.1" customHeight="1" x14ac:dyDescent="0.2">
      <c r="A490" s="109" t="s">
        <v>2277</v>
      </c>
      <c r="B490" s="499" t="s">
        <v>2278</v>
      </c>
      <c r="C490" s="500"/>
      <c r="D490" s="500"/>
      <c r="E490" s="500"/>
      <c r="F490" s="500"/>
      <c r="G490" s="500"/>
      <c r="H490" s="500"/>
      <c r="I490" s="500"/>
      <c r="J490" s="501"/>
    </row>
    <row r="491" spans="1:10" ht="14.1" customHeight="1" x14ac:dyDescent="0.2">
      <c r="A491" s="109" t="s">
        <v>2279</v>
      </c>
      <c r="B491" s="499" t="s">
        <v>2280</v>
      </c>
      <c r="C491" s="500"/>
      <c r="D491" s="500"/>
      <c r="E491" s="500"/>
      <c r="F491" s="500"/>
      <c r="G491" s="500"/>
      <c r="H491" s="500"/>
      <c r="I491" s="500"/>
      <c r="J491" s="501"/>
    </row>
    <row r="492" spans="1:10" ht="14.1" customHeight="1" x14ac:dyDescent="0.2">
      <c r="A492" s="109" t="s">
        <v>2281</v>
      </c>
      <c r="B492" s="499" t="s">
        <v>2282</v>
      </c>
      <c r="C492" s="500"/>
      <c r="D492" s="500"/>
      <c r="E492" s="500"/>
      <c r="F492" s="500"/>
      <c r="G492" s="500"/>
      <c r="H492" s="500"/>
      <c r="I492" s="500"/>
      <c r="J492" s="501"/>
    </row>
    <row r="493" spans="1:10" ht="14.1" customHeight="1" x14ac:dyDescent="0.2">
      <c r="A493" s="109" t="s">
        <v>2283</v>
      </c>
      <c r="B493" s="499" t="s">
        <v>2284</v>
      </c>
      <c r="C493" s="500"/>
      <c r="D493" s="500"/>
      <c r="E493" s="500"/>
      <c r="F493" s="500"/>
      <c r="G493" s="500"/>
      <c r="H493" s="500"/>
      <c r="I493" s="500"/>
      <c r="J493" s="501"/>
    </row>
    <row r="494" spans="1:10" ht="14.1" customHeight="1" x14ac:dyDescent="0.2">
      <c r="A494" s="109" t="s">
        <v>2285</v>
      </c>
      <c r="B494" s="499" t="s">
        <v>2286</v>
      </c>
      <c r="C494" s="500"/>
      <c r="D494" s="500"/>
      <c r="E494" s="500"/>
      <c r="F494" s="500"/>
      <c r="G494" s="500"/>
      <c r="H494" s="500"/>
      <c r="I494" s="500"/>
      <c r="J494" s="501"/>
    </row>
    <row r="495" spans="1:10" ht="14.1" customHeight="1" x14ac:dyDescent="0.2">
      <c r="A495" s="109" t="s">
        <v>2287</v>
      </c>
      <c r="B495" s="499" t="s">
        <v>2288</v>
      </c>
      <c r="C495" s="500"/>
      <c r="D495" s="500"/>
      <c r="E495" s="500"/>
      <c r="F495" s="500"/>
      <c r="G495" s="500"/>
      <c r="H495" s="500"/>
      <c r="I495" s="500"/>
      <c r="J495" s="501"/>
    </row>
    <row r="496" spans="1:10" ht="14.1" customHeight="1" x14ac:dyDescent="0.2">
      <c r="A496" s="109" t="s">
        <v>416</v>
      </c>
      <c r="B496" s="499" t="s">
        <v>417</v>
      </c>
      <c r="C496" s="500"/>
      <c r="D496" s="500"/>
      <c r="E496" s="500"/>
      <c r="F496" s="500"/>
      <c r="G496" s="500"/>
      <c r="H496" s="500"/>
      <c r="I496" s="500"/>
      <c r="J496" s="501"/>
    </row>
    <row r="497" spans="1:10" ht="14.1" customHeight="1" x14ac:dyDescent="0.2">
      <c r="A497" s="109" t="s">
        <v>418</v>
      </c>
      <c r="B497" s="499" t="s">
        <v>419</v>
      </c>
      <c r="C497" s="500"/>
      <c r="D497" s="500"/>
      <c r="E497" s="500"/>
      <c r="F497" s="500"/>
      <c r="G497" s="500"/>
      <c r="H497" s="500"/>
      <c r="I497" s="500"/>
      <c r="J497" s="501"/>
    </row>
    <row r="498" spans="1:10" ht="14.1" customHeight="1" x14ac:dyDescent="0.2">
      <c r="A498" s="109" t="s">
        <v>420</v>
      </c>
      <c r="B498" s="499" t="s">
        <v>421</v>
      </c>
      <c r="C498" s="500"/>
      <c r="D498" s="500"/>
      <c r="E498" s="500"/>
      <c r="F498" s="500"/>
      <c r="G498" s="500"/>
      <c r="H498" s="500"/>
      <c r="I498" s="500"/>
      <c r="J498" s="501"/>
    </row>
    <row r="499" spans="1:10" ht="14.1" customHeight="1" x14ac:dyDescent="0.2">
      <c r="A499" s="109" t="s">
        <v>422</v>
      </c>
      <c r="B499" s="499" t="s">
        <v>423</v>
      </c>
      <c r="C499" s="500"/>
      <c r="D499" s="500"/>
      <c r="E499" s="500"/>
      <c r="F499" s="500"/>
      <c r="G499" s="500"/>
      <c r="H499" s="500"/>
      <c r="I499" s="500"/>
      <c r="J499" s="501"/>
    </row>
    <row r="500" spans="1:10" ht="14.1" customHeight="1" x14ac:dyDescent="0.2">
      <c r="A500" s="109" t="s">
        <v>424</v>
      </c>
      <c r="B500" s="499" t="s">
        <v>425</v>
      </c>
      <c r="C500" s="500"/>
      <c r="D500" s="500"/>
      <c r="E500" s="500"/>
      <c r="F500" s="500"/>
      <c r="G500" s="500"/>
      <c r="H500" s="500"/>
      <c r="I500" s="500"/>
      <c r="J500" s="501"/>
    </row>
    <row r="501" spans="1:10" ht="14.1" customHeight="1" x14ac:dyDescent="0.2">
      <c r="A501" s="109" t="s">
        <v>426</v>
      </c>
      <c r="B501" s="499" t="s">
        <v>427</v>
      </c>
      <c r="C501" s="500"/>
      <c r="D501" s="500"/>
      <c r="E501" s="500"/>
      <c r="F501" s="500"/>
      <c r="G501" s="500"/>
      <c r="H501" s="500"/>
      <c r="I501" s="500"/>
      <c r="J501" s="501"/>
    </row>
    <row r="502" spans="1:10" ht="14.1" customHeight="1" x14ac:dyDescent="0.2">
      <c r="A502" s="109" t="s">
        <v>428</v>
      </c>
      <c r="B502" s="499" t="s">
        <v>429</v>
      </c>
      <c r="C502" s="500"/>
      <c r="D502" s="500"/>
      <c r="E502" s="500"/>
      <c r="F502" s="500"/>
      <c r="G502" s="500"/>
      <c r="H502" s="500"/>
      <c r="I502" s="500"/>
      <c r="J502" s="501"/>
    </row>
    <row r="503" spans="1:10" ht="14.1" customHeight="1" x14ac:dyDescent="0.2">
      <c r="A503" s="109" t="s">
        <v>430</v>
      </c>
      <c r="B503" s="499" t="s">
        <v>431</v>
      </c>
      <c r="C503" s="500"/>
      <c r="D503" s="500"/>
      <c r="E503" s="500"/>
      <c r="F503" s="500"/>
      <c r="G503" s="500"/>
      <c r="H503" s="500"/>
      <c r="I503" s="500"/>
      <c r="J503" s="501"/>
    </row>
    <row r="504" spans="1:10" ht="14.1" customHeight="1" x14ac:dyDescent="0.2">
      <c r="A504" s="109" t="s">
        <v>432</v>
      </c>
      <c r="B504" s="499" t="s">
        <v>433</v>
      </c>
      <c r="C504" s="500"/>
      <c r="D504" s="500"/>
      <c r="E504" s="500"/>
      <c r="F504" s="500"/>
      <c r="G504" s="500"/>
      <c r="H504" s="500"/>
      <c r="I504" s="500"/>
      <c r="J504" s="501"/>
    </row>
    <row r="505" spans="1:10" ht="14.1" customHeight="1" x14ac:dyDescent="0.2">
      <c r="A505" s="109" t="s">
        <v>434</v>
      </c>
      <c r="B505" s="499" t="s">
        <v>443</v>
      </c>
      <c r="C505" s="500"/>
      <c r="D505" s="500"/>
      <c r="E505" s="500"/>
      <c r="F505" s="500"/>
      <c r="G505" s="500"/>
      <c r="H505" s="500"/>
      <c r="I505" s="500"/>
      <c r="J505" s="501"/>
    </row>
    <row r="506" spans="1:10" ht="14.1" customHeight="1" x14ac:dyDescent="0.2">
      <c r="A506" s="109" t="s">
        <v>444</v>
      </c>
      <c r="B506" s="499" t="s">
        <v>445</v>
      </c>
      <c r="C506" s="500"/>
      <c r="D506" s="500"/>
      <c r="E506" s="500"/>
      <c r="F506" s="500"/>
      <c r="G506" s="500"/>
      <c r="H506" s="500"/>
      <c r="I506" s="500"/>
      <c r="J506" s="501"/>
    </row>
    <row r="507" spans="1:10" ht="14.1" customHeight="1" x14ac:dyDescent="0.2">
      <c r="A507" s="109" t="s">
        <v>446</v>
      </c>
      <c r="B507" s="499" t="s">
        <v>447</v>
      </c>
      <c r="C507" s="500"/>
      <c r="D507" s="500"/>
      <c r="E507" s="500"/>
      <c r="F507" s="500"/>
      <c r="G507" s="500"/>
      <c r="H507" s="500"/>
      <c r="I507" s="500"/>
      <c r="J507" s="501"/>
    </row>
    <row r="508" spans="1:10" ht="14.1" customHeight="1" x14ac:dyDescent="0.2">
      <c r="A508" s="109" t="s">
        <v>448</v>
      </c>
      <c r="B508" s="499" t="s">
        <v>449</v>
      </c>
      <c r="C508" s="500"/>
      <c r="D508" s="500"/>
      <c r="E508" s="500"/>
      <c r="F508" s="500"/>
      <c r="G508" s="500"/>
      <c r="H508" s="500"/>
      <c r="I508" s="500"/>
      <c r="J508" s="501"/>
    </row>
    <row r="509" spans="1:10" ht="14.1" customHeight="1" x14ac:dyDescent="0.2">
      <c r="A509" s="109" t="s">
        <v>450</v>
      </c>
      <c r="B509" s="499" t="s">
        <v>451</v>
      </c>
      <c r="C509" s="500"/>
      <c r="D509" s="500"/>
      <c r="E509" s="500"/>
      <c r="F509" s="500"/>
      <c r="G509" s="500"/>
      <c r="H509" s="500"/>
      <c r="I509" s="500"/>
      <c r="J509" s="501"/>
    </row>
    <row r="510" spans="1:10" ht="14.1" customHeight="1" x14ac:dyDescent="0.2">
      <c r="A510" s="109" t="s">
        <v>452</v>
      </c>
      <c r="B510" s="499" t="s">
        <v>1590</v>
      </c>
      <c r="C510" s="500"/>
      <c r="D510" s="500"/>
      <c r="E510" s="500"/>
      <c r="F510" s="500"/>
      <c r="G510" s="500"/>
      <c r="H510" s="500"/>
      <c r="I510" s="500"/>
      <c r="J510" s="501"/>
    </row>
    <row r="511" spans="1:10" ht="14.1" customHeight="1" x14ac:dyDescent="0.2">
      <c r="A511" s="109" t="s">
        <v>1591</v>
      </c>
      <c r="B511" s="499" t="s">
        <v>1592</v>
      </c>
      <c r="C511" s="500"/>
      <c r="D511" s="500"/>
      <c r="E511" s="500"/>
      <c r="F511" s="500"/>
      <c r="G511" s="500"/>
      <c r="H511" s="500"/>
      <c r="I511" s="500"/>
      <c r="J511" s="501"/>
    </row>
    <row r="512" spans="1:10" ht="14.1" customHeight="1" x14ac:dyDescent="0.2">
      <c r="A512" s="109" t="s">
        <v>1593</v>
      </c>
      <c r="B512" s="499" t="s">
        <v>1594</v>
      </c>
      <c r="C512" s="500"/>
      <c r="D512" s="500"/>
      <c r="E512" s="500"/>
      <c r="F512" s="500"/>
      <c r="G512" s="500"/>
      <c r="H512" s="500"/>
      <c r="I512" s="500"/>
      <c r="J512" s="501"/>
    </row>
    <row r="513" spans="1:10" ht="14.1" customHeight="1" x14ac:dyDescent="0.2">
      <c r="A513" s="109" t="s">
        <v>1595</v>
      </c>
      <c r="B513" s="499" t="s">
        <v>1596</v>
      </c>
      <c r="C513" s="500"/>
      <c r="D513" s="500"/>
      <c r="E513" s="500"/>
      <c r="F513" s="500"/>
      <c r="G513" s="500"/>
      <c r="H513" s="500"/>
      <c r="I513" s="500"/>
      <c r="J513" s="501"/>
    </row>
    <row r="514" spans="1:10" ht="14.1" customHeight="1" x14ac:dyDescent="0.2">
      <c r="A514" s="109" t="s">
        <v>1597</v>
      </c>
      <c r="B514" s="499" t="s">
        <v>1598</v>
      </c>
      <c r="C514" s="500"/>
      <c r="D514" s="500"/>
      <c r="E514" s="500"/>
      <c r="F514" s="500"/>
      <c r="G514" s="500"/>
      <c r="H514" s="500"/>
      <c r="I514" s="500"/>
      <c r="J514" s="501"/>
    </row>
    <row r="515" spans="1:10" ht="14.1" customHeight="1" x14ac:dyDescent="0.2">
      <c r="A515" s="109" t="s">
        <v>1599</v>
      </c>
      <c r="B515" s="499" t="s">
        <v>1600</v>
      </c>
      <c r="C515" s="500"/>
      <c r="D515" s="500"/>
      <c r="E515" s="500"/>
      <c r="F515" s="500"/>
      <c r="G515" s="500"/>
      <c r="H515" s="500"/>
      <c r="I515" s="500"/>
      <c r="J515" s="501"/>
    </row>
    <row r="516" spans="1:10" ht="14.1" customHeight="1" x14ac:dyDescent="0.2">
      <c r="A516" s="109" t="s">
        <v>1601</v>
      </c>
      <c r="B516" s="499" t="s">
        <v>437</v>
      </c>
      <c r="C516" s="500"/>
      <c r="D516" s="500"/>
      <c r="E516" s="500"/>
      <c r="F516" s="500"/>
      <c r="G516" s="500"/>
      <c r="H516" s="500"/>
      <c r="I516" s="500"/>
      <c r="J516" s="501"/>
    </row>
    <row r="517" spans="1:10" ht="14.1" customHeight="1" x14ac:dyDescent="0.2">
      <c r="A517" s="109" t="s">
        <v>438</v>
      </c>
      <c r="B517" s="499" t="s">
        <v>972</v>
      </c>
      <c r="C517" s="500"/>
      <c r="D517" s="500"/>
      <c r="E517" s="500"/>
      <c r="F517" s="500"/>
      <c r="G517" s="500"/>
      <c r="H517" s="500"/>
      <c r="I517" s="500"/>
      <c r="J517" s="501"/>
    </row>
    <row r="518" spans="1:10" ht="14.1" customHeight="1" x14ac:dyDescent="0.2">
      <c r="A518" s="109" t="s">
        <v>973</v>
      </c>
      <c r="B518" s="499" t="s">
        <v>974</v>
      </c>
      <c r="C518" s="500"/>
      <c r="D518" s="500"/>
      <c r="E518" s="500"/>
      <c r="F518" s="500"/>
      <c r="G518" s="500"/>
      <c r="H518" s="500"/>
      <c r="I518" s="500"/>
      <c r="J518" s="501"/>
    </row>
    <row r="519" spans="1:10" ht="14.1" customHeight="1" x14ac:dyDescent="0.2">
      <c r="A519" s="109" t="s">
        <v>975</v>
      </c>
      <c r="B519" s="499" t="s">
        <v>976</v>
      </c>
      <c r="C519" s="500"/>
      <c r="D519" s="500"/>
      <c r="E519" s="500"/>
      <c r="F519" s="500"/>
      <c r="G519" s="500"/>
      <c r="H519" s="500"/>
      <c r="I519" s="500"/>
      <c r="J519" s="501"/>
    </row>
    <row r="520" spans="1:10" ht="14.1" customHeight="1" x14ac:dyDescent="0.2">
      <c r="A520" s="109" t="s">
        <v>977</v>
      </c>
      <c r="B520" s="499" t="s">
        <v>978</v>
      </c>
      <c r="C520" s="500"/>
      <c r="D520" s="500"/>
      <c r="E520" s="500"/>
      <c r="F520" s="500"/>
      <c r="G520" s="500"/>
      <c r="H520" s="500"/>
      <c r="I520" s="500"/>
      <c r="J520" s="501"/>
    </row>
    <row r="521" spans="1:10" ht="14.1" customHeight="1" x14ac:dyDescent="0.2">
      <c r="A521" s="109" t="s">
        <v>979</v>
      </c>
      <c r="B521" s="499" t="s">
        <v>980</v>
      </c>
      <c r="C521" s="500"/>
      <c r="D521" s="500"/>
      <c r="E521" s="500"/>
      <c r="F521" s="500"/>
      <c r="G521" s="500"/>
      <c r="H521" s="500"/>
      <c r="I521" s="500"/>
      <c r="J521" s="501"/>
    </row>
    <row r="522" spans="1:10" ht="14.1" customHeight="1" x14ac:dyDescent="0.2">
      <c r="A522" s="109" t="s">
        <v>981</v>
      </c>
      <c r="B522" s="499" t="s">
        <v>982</v>
      </c>
      <c r="C522" s="500"/>
      <c r="D522" s="500"/>
      <c r="E522" s="500"/>
      <c r="F522" s="500"/>
      <c r="G522" s="500"/>
      <c r="H522" s="500"/>
      <c r="I522" s="500"/>
      <c r="J522" s="501"/>
    </row>
    <row r="523" spans="1:10" ht="14.1" customHeight="1" x14ac:dyDescent="0.2">
      <c r="A523" s="109" t="s">
        <v>983</v>
      </c>
      <c r="B523" s="499" t="s">
        <v>984</v>
      </c>
      <c r="C523" s="500"/>
      <c r="D523" s="500"/>
      <c r="E523" s="500"/>
      <c r="F523" s="500"/>
      <c r="G523" s="500"/>
      <c r="H523" s="500"/>
      <c r="I523" s="500"/>
      <c r="J523" s="501"/>
    </row>
    <row r="524" spans="1:10" ht="14.1" customHeight="1" x14ac:dyDescent="0.2">
      <c r="A524" s="109" t="s">
        <v>985</v>
      </c>
      <c r="B524" s="499" t="s">
        <v>260</v>
      </c>
      <c r="C524" s="500"/>
      <c r="D524" s="500"/>
      <c r="E524" s="500"/>
      <c r="F524" s="500"/>
      <c r="G524" s="500"/>
      <c r="H524" s="500"/>
      <c r="I524" s="500"/>
      <c r="J524" s="501"/>
    </row>
    <row r="525" spans="1:10" ht="14.1" customHeight="1" x14ac:dyDescent="0.2">
      <c r="A525" s="109" t="s">
        <v>261</v>
      </c>
      <c r="B525" s="499" t="s">
        <v>262</v>
      </c>
      <c r="C525" s="500"/>
      <c r="D525" s="500"/>
      <c r="E525" s="500"/>
      <c r="F525" s="500"/>
      <c r="G525" s="500"/>
      <c r="H525" s="500"/>
      <c r="I525" s="500"/>
      <c r="J525" s="501"/>
    </row>
    <row r="526" spans="1:10" ht="14.1" customHeight="1" x14ac:dyDescent="0.2">
      <c r="A526" s="109" t="s">
        <v>263</v>
      </c>
      <c r="B526" s="499" t="s">
        <v>1350</v>
      </c>
      <c r="C526" s="500"/>
      <c r="D526" s="500"/>
      <c r="E526" s="500"/>
      <c r="F526" s="500"/>
      <c r="G526" s="500"/>
      <c r="H526" s="500"/>
      <c r="I526" s="500"/>
      <c r="J526" s="501"/>
    </row>
    <row r="527" spans="1:10" ht="14.1" customHeight="1" x14ac:dyDescent="0.2">
      <c r="A527" s="109" t="s">
        <v>1351</v>
      </c>
      <c r="B527" s="499" t="s">
        <v>1352</v>
      </c>
      <c r="C527" s="500"/>
      <c r="D527" s="500"/>
      <c r="E527" s="500"/>
      <c r="F527" s="500"/>
      <c r="G527" s="500"/>
      <c r="H527" s="500"/>
      <c r="I527" s="500"/>
      <c r="J527" s="501"/>
    </row>
    <row r="528" spans="1:10" ht="26.1" customHeight="1" x14ac:dyDescent="0.2">
      <c r="A528" s="109" t="s">
        <v>1353</v>
      </c>
      <c r="B528" s="499" t="s">
        <v>1354</v>
      </c>
      <c r="C528" s="500"/>
      <c r="D528" s="500"/>
      <c r="E528" s="500"/>
      <c r="F528" s="500"/>
      <c r="G528" s="500"/>
      <c r="H528" s="500"/>
      <c r="I528" s="500"/>
      <c r="J528" s="501"/>
    </row>
    <row r="529" spans="1:10" ht="14.1" customHeight="1" x14ac:dyDescent="0.2">
      <c r="A529" s="109" t="s">
        <v>1355</v>
      </c>
      <c r="B529" s="499" t="s">
        <v>1356</v>
      </c>
      <c r="C529" s="500"/>
      <c r="D529" s="500"/>
      <c r="E529" s="500"/>
      <c r="F529" s="500"/>
      <c r="G529" s="500"/>
      <c r="H529" s="500"/>
      <c r="I529" s="500"/>
      <c r="J529" s="501"/>
    </row>
    <row r="530" spans="1:10" ht="14.1" customHeight="1" x14ac:dyDescent="0.2">
      <c r="A530" s="109" t="s">
        <v>1357</v>
      </c>
      <c r="B530" s="499" t="s">
        <v>1358</v>
      </c>
      <c r="C530" s="500"/>
      <c r="D530" s="500"/>
      <c r="E530" s="500"/>
      <c r="F530" s="500"/>
      <c r="G530" s="500"/>
      <c r="H530" s="500"/>
      <c r="I530" s="500"/>
      <c r="J530" s="501"/>
    </row>
    <row r="531" spans="1:10" ht="14.1" customHeight="1" x14ac:dyDescent="0.2">
      <c r="A531" s="109" t="s">
        <v>1359</v>
      </c>
      <c r="B531" s="499" t="s">
        <v>1360</v>
      </c>
      <c r="C531" s="500"/>
      <c r="D531" s="500"/>
      <c r="E531" s="500"/>
      <c r="F531" s="500"/>
      <c r="G531" s="500"/>
      <c r="H531" s="500"/>
      <c r="I531" s="500"/>
      <c r="J531" s="501"/>
    </row>
    <row r="532" spans="1:10" ht="14.1" customHeight="1" x14ac:dyDescent="0.2">
      <c r="A532" s="109" t="s">
        <v>1361</v>
      </c>
      <c r="B532" s="499" t="s">
        <v>1362</v>
      </c>
      <c r="C532" s="500"/>
      <c r="D532" s="500"/>
      <c r="E532" s="500"/>
      <c r="F532" s="500"/>
      <c r="G532" s="500"/>
      <c r="H532" s="500"/>
      <c r="I532" s="500"/>
      <c r="J532" s="501"/>
    </row>
    <row r="533" spans="1:10" ht="14.1" customHeight="1" x14ac:dyDescent="0.2">
      <c r="A533" s="109" t="s">
        <v>1363</v>
      </c>
      <c r="B533" s="499" t="s">
        <v>1364</v>
      </c>
      <c r="C533" s="500"/>
      <c r="D533" s="500"/>
      <c r="E533" s="500"/>
      <c r="F533" s="500"/>
      <c r="G533" s="500"/>
      <c r="H533" s="500"/>
      <c r="I533" s="500"/>
      <c r="J533" s="501"/>
    </row>
    <row r="534" spans="1:10" ht="14.1" customHeight="1" x14ac:dyDescent="0.2">
      <c r="A534" s="109" t="s">
        <v>1365</v>
      </c>
      <c r="B534" s="499" t="s">
        <v>1734</v>
      </c>
      <c r="C534" s="500"/>
      <c r="D534" s="500"/>
      <c r="E534" s="500"/>
      <c r="F534" s="500"/>
      <c r="G534" s="500"/>
      <c r="H534" s="500"/>
      <c r="I534" s="500"/>
      <c r="J534" s="501"/>
    </row>
    <row r="535" spans="1:10" ht="14.1" customHeight="1" x14ac:dyDescent="0.2">
      <c r="A535" s="109" t="s">
        <v>1735</v>
      </c>
      <c r="B535" s="499" t="s">
        <v>1736</v>
      </c>
      <c r="C535" s="500"/>
      <c r="D535" s="500"/>
      <c r="E535" s="500"/>
      <c r="F535" s="500"/>
      <c r="G535" s="500"/>
      <c r="H535" s="500"/>
      <c r="I535" s="500"/>
      <c r="J535" s="501"/>
    </row>
    <row r="536" spans="1:10" ht="14.1" customHeight="1" x14ac:dyDescent="0.2">
      <c r="A536" s="109" t="s">
        <v>1737</v>
      </c>
      <c r="B536" s="499" t="s">
        <v>775</v>
      </c>
      <c r="C536" s="500"/>
      <c r="D536" s="500"/>
      <c r="E536" s="500"/>
      <c r="F536" s="500"/>
      <c r="G536" s="500"/>
      <c r="H536" s="500"/>
      <c r="I536" s="500"/>
      <c r="J536" s="501"/>
    </row>
    <row r="537" spans="1:10" ht="14.1" customHeight="1" x14ac:dyDescent="0.2">
      <c r="A537" s="109" t="s">
        <v>776</v>
      </c>
      <c r="B537" s="499" t="s">
        <v>777</v>
      </c>
      <c r="C537" s="500"/>
      <c r="D537" s="500"/>
      <c r="E537" s="500"/>
      <c r="F537" s="500"/>
      <c r="G537" s="500"/>
      <c r="H537" s="500"/>
      <c r="I537" s="500"/>
      <c r="J537" s="501"/>
    </row>
    <row r="538" spans="1:10" ht="14.1" customHeight="1" x14ac:dyDescent="0.2">
      <c r="A538" s="109" t="s">
        <v>778</v>
      </c>
      <c r="B538" s="499" t="s">
        <v>779</v>
      </c>
      <c r="C538" s="500"/>
      <c r="D538" s="500"/>
      <c r="E538" s="500"/>
      <c r="F538" s="500"/>
      <c r="G538" s="500"/>
      <c r="H538" s="500"/>
      <c r="I538" s="500"/>
      <c r="J538" s="501"/>
    </row>
    <row r="539" spans="1:10" ht="14.1" customHeight="1" x14ac:dyDescent="0.2">
      <c r="A539" s="109" t="s">
        <v>780</v>
      </c>
      <c r="B539" s="499" t="s">
        <v>781</v>
      </c>
      <c r="C539" s="500"/>
      <c r="D539" s="500"/>
      <c r="E539" s="500"/>
      <c r="F539" s="500"/>
      <c r="G539" s="500"/>
      <c r="H539" s="500"/>
      <c r="I539" s="500"/>
      <c r="J539" s="501"/>
    </row>
    <row r="540" spans="1:10" ht="14.1" customHeight="1" x14ac:dyDescent="0.2">
      <c r="A540" s="109" t="s">
        <v>782</v>
      </c>
      <c r="B540" s="499" t="s">
        <v>783</v>
      </c>
      <c r="C540" s="500"/>
      <c r="D540" s="500"/>
      <c r="E540" s="500"/>
      <c r="F540" s="500"/>
      <c r="G540" s="500"/>
      <c r="H540" s="500"/>
      <c r="I540" s="500"/>
      <c r="J540" s="501"/>
    </row>
    <row r="541" spans="1:10" ht="14.1" customHeight="1" x14ac:dyDescent="0.2">
      <c r="A541" s="109" t="s">
        <v>784</v>
      </c>
      <c r="B541" s="499" t="s">
        <v>785</v>
      </c>
      <c r="C541" s="500"/>
      <c r="D541" s="500"/>
      <c r="E541" s="500"/>
      <c r="F541" s="500"/>
      <c r="G541" s="500"/>
      <c r="H541" s="500"/>
      <c r="I541" s="500"/>
      <c r="J541" s="501"/>
    </row>
    <row r="542" spans="1:10" ht="14.1" customHeight="1" x14ac:dyDescent="0.2">
      <c r="A542" s="109" t="s">
        <v>786</v>
      </c>
      <c r="B542" s="499" t="s">
        <v>787</v>
      </c>
      <c r="C542" s="500"/>
      <c r="D542" s="500"/>
      <c r="E542" s="500"/>
      <c r="F542" s="500"/>
      <c r="G542" s="500"/>
      <c r="H542" s="500"/>
      <c r="I542" s="500"/>
      <c r="J542" s="501"/>
    </row>
    <row r="543" spans="1:10" ht="14.1" customHeight="1" x14ac:dyDescent="0.2">
      <c r="A543" s="109" t="s">
        <v>788</v>
      </c>
      <c r="B543" s="499" t="s">
        <v>789</v>
      </c>
      <c r="C543" s="500"/>
      <c r="D543" s="500"/>
      <c r="E543" s="500"/>
      <c r="F543" s="500"/>
      <c r="G543" s="500"/>
      <c r="H543" s="500"/>
      <c r="I543" s="500"/>
      <c r="J543" s="501"/>
    </row>
    <row r="544" spans="1:10" ht="14.1" customHeight="1" x14ac:dyDescent="0.2">
      <c r="A544" s="109" t="s">
        <v>790</v>
      </c>
      <c r="B544" s="499" t="s">
        <v>791</v>
      </c>
      <c r="C544" s="500"/>
      <c r="D544" s="500"/>
      <c r="E544" s="500"/>
      <c r="F544" s="500"/>
      <c r="G544" s="500"/>
      <c r="H544" s="500"/>
      <c r="I544" s="500"/>
      <c r="J544" s="501"/>
    </row>
    <row r="545" spans="1:10" ht="14.1" customHeight="1" x14ac:dyDescent="0.2">
      <c r="A545" s="109" t="s">
        <v>792</v>
      </c>
      <c r="B545" s="499" t="s">
        <v>793</v>
      </c>
      <c r="C545" s="500"/>
      <c r="D545" s="500"/>
      <c r="E545" s="500"/>
      <c r="F545" s="500"/>
      <c r="G545" s="500"/>
      <c r="H545" s="500"/>
      <c r="I545" s="500"/>
      <c r="J545" s="501"/>
    </row>
    <row r="546" spans="1:10" ht="14.1" customHeight="1" x14ac:dyDescent="0.2">
      <c r="A546" s="109" t="s">
        <v>794</v>
      </c>
      <c r="B546" s="499" t="s">
        <v>0</v>
      </c>
      <c r="C546" s="500"/>
      <c r="D546" s="500"/>
      <c r="E546" s="500"/>
      <c r="F546" s="500"/>
      <c r="G546" s="500"/>
      <c r="H546" s="500"/>
      <c r="I546" s="500"/>
      <c r="J546" s="501"/>
    </row>
    <row r="547" spans="1:10" ht="14.1" customHeight="1" x14ac:dyDescent="0.2">
      <c r="A547" s="109" t="s">
        <v>1</v>
      </c>
      <c r="B547" s="499" t="s">
        <v>2</v>
      </c>
      <c r="C547" s="500"/>
      <c r="D547" s="500"/>
      <c r="E547" s="500"/>
      <c r="F547" s="500"/>
      <c r="G547" s="500"/>
      <c r="H547" s="500"/>
      <c r="I547" s="500"/>
      <c r="J547" s="501"/>
    </row>
    <row r="548" spans="1:10" ht="14.1" customHeight="1" x14ac:dyDescent="0.2">
      <c r="A548" s="109" t="s">
        <v>3</v>
      </c>
      <c r="B548" s="499" t="s">
        <v>4</v>
      </c>
      <c r="C548" s="500"/>
      <c r="D548" s="500"/>
      <c r="E548" s="500"/>
      <c r="F548" s="500"/>
      <c r="G548" s="500"/>
      <c r="H548" s="500"/>
      <c r="I548" s="500"/>
      <c r="J548" s="501"/>
    </row>
    <row r="549" spans="1:10" ht="14.1" customHeight="1" x14ac:dyDescent="0.2">
      <c r="A549" s="109" t="s">
        <v>5</v>
      </c>
      <c r="B549" s="499" t="s">
        <v>6</v>
      </c>
      <c r="C549" s="500"/>
      <c r="D549" s="500"/>
      <c r="E549" s="500"/>
      <c r="F549" s="500"/>
      <c r="G549" s="500"/>
      <c r="H549" s="500"/>
      <c r="I549" s="500"/>
      <c r="J549" s="501"/>
    </row>
    <row r="550" spans="1:10" ht="14.1" customHeight="1" x14ac:dyDescent="0.2">
      <c r="A550" s="109" t="s">
        <v>7</v>
      </c>
      <c r="B550" s="499" t="s">
        <v>8</v>
      </c>
      <c r="C550" s="500"/>
      <c r="D550" s="500"/>
      <c r="E550" s="500"/>
      <c r="F550" s="500"/>
      <c r="G550" s="500"/>
      <c r="H550" s="500"/>
      <c r="I550" s="500"/>
      <c r="J550" s="501"/>
    </row>
    <row r="551" spans="1:10" ht="26.1" customHeight="1" x14ac:dyDescent="0.2">
      <c r="A551" s="109" t="s">
        <v>9</v>
      </c>
      <c r="B551" s="499" t="s">
        <v>2515</v>
      </c>
      <c r="C551" s="500"/>
      <c r="D551" s="500"/>
      <c r="E551" s="500"/>
      <c r="F551" s="500"/>
      <c r="G551" s="500"/>
      <c r="H551" s="500"/>
      <c r="I551" s="500"/>
      <c r="J551" s="501"/>
    </row>
    <row r="552" spans="1:10" ht="14.1" customHeight="1" x14ac:dyDescent="0.2">
      <c r="A552" s="109" t="s">
        <v>2516</v>
      </c>
      <c r="B552" s="499" t="s">
        <v>2517</v>
      </c>
      <c r="C552" s="500"/>
      <c r="D552" s="500"/>
      <c r="E552" s="500"/>
      <c r="F552" s="500"/>
      <c r="G552" s="500"/>
      <c r="H552" s="500"/>
      <c r="I552" s="500"/>
      <c r="J552" s="501"/>
    </row>
    <row r="553" spans="1:10" ht="14.1" customHeight="1" x14ac:dyDescent="0.2">
      <c r="A553" s="109" t="s">
        <v>2518</v>
      </c>
      <c r="B553" s="499" t="s">
        <v>2519</v>
      </c>
      <c r="C553" s="500"/>
      <c r="D553" s="500"/>
      <c r="E553" s="500"/>
      <c r="F553" s="500"/>
      <c r="G553" s="500"/>
      <c r="H553" s="500"/>
      <c r="I553" s="500"/>
      <c r="J553" s="501"/>
    </row>
    <row r="554" spans="1:10" ht="14.1" customHeight="1" x14ac:dyDescent="0.2">
      <c r="A554" s="109" t="s">
        <v>2520</v>
      </c>
      <c r="B554" s="499" t="s">
        <v>2521</v>
      </c>
      <c r="C554" s="500"/>
      <c r="D554" s="500"/>
      <c r="E554" s="500"/>
      <c r="F554" s="500"/>
      <c r="G554" s="500"/>
      <c r="H554" s="500"/>
      <c r="I554" s="500"/>
      <c r="J554" s="501"/>
    </row>
    <row r="555" spans="1:10" ht="14.1" customHeight="1" x14ac:dyDescent="0.2">
      <c r="A555" s="109" t="s">
        <v>2522</v>
      </c>
      <c r="B555" s="499" t="s">
        <v>2523</v>
      </c>
      <c r="C555" s="500"/>
      <c r="D555" s="500"/>
      <c r="E555" s="500"/>
      <c r="F555" s="500"/>
      <c r="G555" s="500"/>
      <c r="H555" s="500"/>
      <c r="I555" s="500"/>
      <c r="J555" s="501"/>
    </row>
    <row r="556" spans="1:10" ht="14.1" customHeight="1" x14ac:dyDescent="0.2">
      <c r="A556" s="109" t="s">
        <v>2524</v>
      </c>
      <c r="B556" s="499" t="s">
        <v>2525</v>
      </c>
      <c r="C556" s="500"/>
      <c r="D556" s="500"/>
      <c r="E556" s="500"/>
      <c r="F556" s="500"/>
      <c r="G556" s="500"/>
      <c r="H556" s="500"/>
      <c r="I556" s="500"/>
      <c r="J556" s="501"/>
    </row>
    <row r="557" spans="1:10" ht="14.1" customHeight="1" x14ac:dyDescent="0.2">
      <c r="A557" s="109" t="s">
        <v>2526</v>
      </c>
      <c r="B557" s="499" t="s">
        <v>2527</v>
      </c>
      <c r="C557" s="500"/>
      <c r="D557" s="500"/>
      <c r="E557" s="500"/>
      <c r="F557" s="500"/>
      <c r="G557" s="500"/>
      <c r="H557" s="500"/>
      <c r="I557" s="500"/>
      <c r="J557" s="501"/>
    </row>
    <row r="558" spans="1:10" ht="14.1" customHeight="1" x14ac:dyDescent="0.2">
      <c r="A558" s="109" t="s">
        <v>2528</v>
      </c>
      <c r="B558" s="499" t="s">
        <v>2529</v>
      </c>
      <c r="C558" s="500"/>
      <c r="D558" s="500"/>
      <c r="E558" s="500"/>
      <c r="F558" s="500"/>
      <c r="G558" s="500"/>
      <c r="H558" s="500"/>
      <c r="I558" s="500"/>
      <c r="J558" s="501"/>
    </row>
    <row r="559" spans="1:10" ht="14.1" customHeight="1" x14ac:dyDescent="0.2">
      <c r="A559" s="109" t="s">
        <v>2530</v>
      </c>
      <c r="B559" s="499" t="s">
        <v>2531</v>
      </c>
      <c r="C559" s="500"/>
      <c r="D559" s="500"/>
      <c r="E559" s="500"/>
      <c r="F559" s="500"/>
      <c r="G559" s="500"/>
      <c r="H559" s="500"/>
      <c r="I559" s="500"/>
      <c r="J559" s="501"/>
    </row>
    <row r="560" spans="1:10" ht="14.1" customHeight="1" x14ac:dyDescent="0.2">
      <c r="A560" s="109" t="s">
        <v>2532</v>
      </c>
      <c r="B560" s="499" t="s">
        <v>2533</v>
      </c>
      <c r="C560" s="500"/>
      <c r="D560" s="500"/>
      <c r="E560" s="500"/>
      <c r="F560" s="500"/>
      <c r="G560" s="500"/>
      <c r="H560" s="500"/>
      <c r="I560" s="500"/>
      <c r="J560" s="501"/>
    </row>
    <row r="561" spans="1:10" ht="14.1" customHeight="1" x14ac:dyDescent="0.2">
      <c r="A561" s="109" t="s">
        <v>67</v>
      </c>
      <c r="B561" s="499" t="s">
        <v>844</v>
      </c>
      <c r="C561" s="500"/>
      <c r="D561" s="500"/>
      <c r="E561" s="500"/>
      <c r="F561" s="500"/>
      <c r="G561" s="500"/>
      <c r="H561" s="500"/>
      <c r="I561" s="500"/>
      <c r="J561" s="501"/>
    </row>
    <row r="562" spans="1:10" ht="14.1" customHeight="1" x14ac:dyDescent="0.2">
      <c r="A562" s="109" t="s">
        <v>845</v>
      </c>
      <c r="B562" s="499" t="s">
        <v>2380</v>
      </c>
      <c r="C562" s="500"/>
      <c r="D562" s="500"/>
      <c r="E562" s="500"/>
      <c r="F562" s="500"/>
      <c r="G562" s="500"/>
      <c r="H562" s="500"/>
      <c r="I562" s="500"/>
      <c r="J562" s="501"/>
    </row>
    <row r="563" spans="1:10" ht="14.1" customHeight="1" x14ac:dyDescent="0.2">
      <c r="A563" s="109" t="s">
        <v>2381</v>
      </c>
      <c r="B563" s="499" t="s">
        <v>2382</v>
      </c>
      <c r="C563" s="500"/>
      <c r="D563" s="500"/>
      <c r="E563" s="500"/>
      <c r="F563" s="500"/>
      <c r="G563" s="500"/>
      <c r="H563" s="500"/>
      <c r="I563" s="500"/>
      <c r="J563" s="501"/>
    </row>
    <row r="564" spans="1:10" ht="14.1" customHeight="1" x14ac:dyDescent="0.2">
      <c r="A564" s="109" t="s">
        <v>2383</v>
      </c>
      <c r="B564" s="499" t="s">
        <v>2384</v>
      </c>
      <c r="C564" s="500"/>
      <c r="D564" s="500"/>
      <c r="E564" s="500"/>
      <c r="F564" s="500"/>
      <c r="G564" s="500"/>
      <c r="H564" s="500"/>
      <c r="I564" s="500"/>
      <c r="J564" s="501"/>
    </row>
    <row r="565" spans="1:10" ht="14.1" customHeight="1" x14ac:dyDescent="0.2">
      <c r="A565" s="109" t="s">
        <v>2385</v>
      </c>
      <c r="B565" s="499" t="s">
        <v>2386</v>
      </c>
      <c r="C565" s="500"/>
      <c r="D565" s="500"/>
      <c r="E565" s="500"/>
      <c r="F565" s="500"/>
      <c r="G565" s="500"/>
      <c r="H565" s="500"/>
      <c r="I565" s="500"/>
      <c r="J565" s="501"/>
    </row>
    <row r="566" spans="1:10" ht="14.1" customHeight="1" x14ac:dyDescent="0.2">
      <c r="A566" s="109" t="s">
        <v>2387</v>
      </c>
      <c r="B566" s="499" t="s">
        <v>2388</v>
      </c>
      <c r="C566" s="500"/>
      <c r="D566" s="500"/>
      <c r="E566" s="500"/>
      <c r="F566" s="500"/>
      <c r="G566" s="500"/>
      <c r="H566" s="500"/>
      <c r="I566" s="500"/>
      <c r="J566" s="501"/>
    </row>
    <row r="567" spans="1:10" ht="14.1" customHeight="1" x14ac:dyDescent="0.2">
      <c r="A567" s="109" t="s">
        <v>2389</v>
      </c>
      <c r="B567" s="499" t="s">
        <v>2390</v>
      </c>
      <c r="C567" s="500"/>
      <c r="D567" s="500"/>
      <c r="E567" s="500"/>
      <c r="F567" s="500"/>
      <c r="G567" s="500"/>
      <c r="H567" s="500"/>
      <c r="I567" s="500"/>
      <c r="J567" s="501"/>
    </row>
    <row r="568" spans="1:10" ht="14.1" customHeight="1" x14ac:dyDescent="0.2">
      <c r="A568" s="109" t="s">
        <v>2391</v>
      </c>
      <c r="B568" s="499" t="s">
        <v>2392</v>
      </c>
      <c r="C568" s="500"/>
      <c r="D568" s="500"/>
      <c r="E568" s="500"/>
      <c r="F568" s="500"/>
      <c r="G568" s="500"/>
      <c r="H568" s="500"/>
      <c r="I568" s="500"/>
      <c r="J568" s="501"/>
    </row>
    <row r="569" spans="1:10" ht="14.1" customHeight="1" x14ac:dyDescent="0.2">
      <c r="A569" s="109" t="s">
        <v>2393</v>
      </c>
      <c r="B569" s="499" t="s">
        <v>2394</v>
      </c>
      <c r="C569" s="500"/>
      <c r="D569" s="500"/>
      <c r="E569" s="500"/>
      <c r="F569" s="500"/>
      <c r="G569" s="500"/>
      <c r="H569" s="500"/>
      <c r="I569" s="500"/>
      <c r="J569" s="501"/>
    </row>
    <row r="570" spans="1:10" ht="14.1" customHeight="1" x14ac:dyDescent="0.2">
      <c r="A570" s="109" t="s">
        <v>2395</v>
      </c>
      <c r="B570" s="499" t="s">
        <v>2396</v>
      </c>
      <c r="C570" s="500"/>
      <c r="D570" s="500"/>
      <c r="E570" s="500"/>
      <c r="F570" s="500"/>
      <c r="G570" s="500"/>
      <c r="H570" s="500"/>
      <c r="I570" s="500"/>
      <c r="J570" s="501"/>
    </row>
    <row r="571" spans="1:10" ht="14.1" customHeight="1" x14ac:dyDescent="0.2">
      <c r="A571" s="109" t="s">
        <v>2397</v>
      </c>
      <c r="B571" s="499" t="s">
        <v>2398</v>
      </c>
      <c r="C571" s="500"/>
      <c r="D571" s="500"/>
      <c r="E571" s="500"/>
      <c r="F571" s="500"/>
      <c r="G571" s="500"/>
      <c r="H571" s="500"/>
      <c r="I571" s="500"/>
      <c r="J571" s="501"/>
    </row>
    <row r="572" spans="1:10" ht="14.1" customHeight="1" x14ac:dyDescent="0.2">
      <c r="A572" s="109" t="s">
        <v>2399</v>
      </c>
      <c r="B572" s="499" t="s">
        <v>2400</v>
      </c>
      <c r="C572" s="500"/>
      <c r="D572" s="500"/>
      <c r="E572" s="500"/>
      <c r="F572" s="500"/>
      <c r="G572" s="500"/>
      <c r="H572" s="500"/>
      <c r="I572" s="500"/>
      <c r="J572" s="501"/>
    </row>
    <row r="573" spans="1:10" ht="14.1" customHeight="1" x14ac:dyDescent="0.2">
      <c r="A573" s="109" t="s">
        <v>2401</v>
      </c>
      <c r="B573" s="499" t="s">
        <v>2402</v>
      </c>
      <c r="C573" s="500"/>
      <c r="D573" s="500"/>
      <c r="E573" s="500"/>
      <c r="F573" s="500"/>
      <c r="G573" s="500"/>
      <c r="H573" s="500"/>
      <c r="I573" s="500"/>
      <c r="J573" s="501"/>
    </row>
    <row r="574" spans="1:10" ht="14.1" customHeight="1" x14ac:dyDescent="0.2">
      <c r="A574" s="109" t="s">
        <v>2403</v>
      </c>
      <c r="B574" s="499" t="s">
        <v>2404</v>
      </c>
      <c r="C574" s="500"/>
      <c r="D574" s="500"/>
      <c r="E574" s="500"/>
      <c r="F574" s="500"/>
      <c r="G574" s="500"/>
      <c r="H574" s="500"/>
      <c r="I574" s="500"/>
      <c r="J574" s="501"/>
    </row>
    <row r="575" spans="1:10" ht="14.1" customHeight="1" x14ac:dyDescent="0.2">
      <c r="A575" s="109" t="s">
        <v>2405</v>
      </c>
      <c r="B575" s="499" t="s">
        <v>2406</v>
      </c>
      <c r="C575" s="500"/>
      <c r="D575" s="500"/>
      <c r="E575" s="500"/>
      <c r="F575" s="500"/>
      <c r="G575" s="500"/>
      <c r="H575" s="500"/>
      <c r="I575" s="500"/>
      <c r="J575" s="501"/>
    </row>
    <row r="576" spans="1:10" ht="26.1" customHeight="1" x14ac:dyDescent="0.2">
      <c r="A576" s="109" t="s">
        <v>2407</v>
      </c>
      <c r="B576" s="499" t="s">
        <v>2408</v>
      </c>
      <c r="C576" s="500"/>
      <c r="D576" s="500"/>
      <c r="E576" s="500"/>
      <c r="F576" s="500"/>
      <c r="G576" s="500"/>
      <c r="H576" s="500"/>
      <c r="I576" s="500"/>
      <c r="J576" s="501"/>
    </row>
    <row r="577" spans="1:10" ht="14.1" customHeight="1" x14ac:dyDescent="0.2">
      <c r="A577" s="109" t="s">
        <v>2409</v>
      </c>
      <c r="B577" s="499" t="s">
        <v>312</v>
      </c>
      <c r="C577" s="500"/>
      <c r="D577" s="500"/>
      <c r="E577" s="500"/>
      <c r="F577" s="500"/>
      <c r="G577" s="500"/>
      <c r="H577" s="500"/>
      <c r="I577" s="500"/>
      <c r="J577" s="501"/>
    </row>
    <row r="578" spans="1:10" ht="14.1" customHeight="1" x14ac:dyDescent="0.2">
      <c r="A578" s="109" t="s">
        <v>313</v>
      </c>
      <c r="B578" s="499" t="s">
        <v>314</v>
      </c>
      <c r="C578" s="500"/>
      <c r="D578" s="500"/>
      <c r="E578" s="500"/>
      <c r="F578" s="500"/>
      <c r="G578" s="500"/>
      <c r="H578" s="500"/>
      <c r="I578" s="500"/>
      <c r="J578" s="501"/>
    </row>
    <row r="579" spans="1:10" ht="14.1" customHeight="1" x14ac:dyDescent="0.2">
      <c r="A579" s="109" t="s">
        <v>315</v>
      </c>
      <c r="B579" s="499" t="s">
        <v>316</v>
      </c>
      <c r="C579" s="500"/>
      <c r="D579" s="500"/>
      <c r="E579" s="500"/>
      <c r="F579" s="500"/>
      <c r="G579" s="500"/>
      <c r="H579" s="500"/>
      <c r="I579" s="500"/>
      <c r="J579" s="501"/>
    </row>
    <row r="580" spans="1:10" ht="14.1" customHeight="1" x14ac:dyDescent="0.2">
      <c r="A580" s="109" t="s">
        <v>317</v>
      </c>
      <c r="B580" s="499" t="s">
        <v>318</v>
      </c>
      <c r="C580" s="500"/>
      <c r="D580" s="500"/>
      <c r="E580" s="500"/>
      <c r="F580" s="500"/>
      <c r="G580" s="500"/>
      <c r="H580" s="500"/>
      <c r="I580" s="500"/>
      <c r="J580" s="501"/>
    </row>
    <row r="581" spans="1:10" ht="14.1" customHeight="1" x14ac:dyDescent="0.2">
      <c r="A581" s="109" t="s">
        <v>319</v>
      </c>
      <c r="B581" s="499" t="s">
        <v>320</v>
      </c>
      <c r="C581" s="500"/>
      <c r="D581" s="500"/>
      <c r="E581" s="500"/>
      <c r="F581" s="500"/>
      <c r="G581" s="500"/>
      <c r="H581" s="500"/>
      <c r="I581" s="500"/>
      <c r="J581" s="501"/>
    </row>
    <row r="582" spans="1:10" ht="14.1" customHeight="1" x14ac:dyDescent="0.2">
      <c r="A582" s="109" t="s">
        <v>321</v>
      </c>
      <c r="B582" s="499" t="s">
        <v>322</v>
      </c>
      <c r="C582" s="500"/>
      <c r="D582" s="500"/>
      <c r="E582" s="500"/>
      <c r="F582" s="500"/>
      <c r="G582" s="500"/>
      <c r="H582" s="500"/>
      <c r="I582" s="500"/>
      <c r="J582" s="501"/>
    </row>
    <row r="583" spans="1:10" ht="14.1" customHeight="1" x14ac:dyDescent="0.2">
      <c r="A583" s="109" t="s">
        <v>323</v>
      </c>
      <c r="B583" s="499" t="s">
        <v>324</v>
      </c>
      <c r="C583" s="500"/>
      <c r="D583" s="500"/>
      <c r="E583" s="500"/>
      <c r="F583" s="500"/>
      <c r="G583" s="500"/>
      <c r="H583" s="500"/>
      <c r="I583" s="500"/>
      <c r="J583" s="501"/>
    </row>
    <row r="584" spans="1:10" ht="14.1" customHeight="1" x14ac:dyDescent="0.2">
      <c r="A584" s="109" t="s">
        <v>325</v>
      </c>
      <c r="B584" s="499" t="s">
        <v>326</v>
      </c>
      <c r="C584" s="500"/>
      <c r="D584" s="500"/>
      <c r="E584" s="500"/>
      <c r="F584" s="500"/>
      <c r="G584" s="500"/>
      <c r="H584" s="500"/>
      <c r="I584" s="500"/>
      <c r="J584" s="501"/>
    </row>
    <row r="585" spans="1:10" ht="14.1" customHeight="1" x14ac:dyDescent="0.2">
      <c r="A585" s="109" t="s">
        <v>327</v>
      </c>
      <c r="B585" s="499" t="s">
        <v>328</v>
      </c>
      <c r="C585" s="500"/>
      <c r="D585" s="500"/>
      <c r="E585" s="500"/>
      <c r="F585" s="500"/>
      <c r="G585" s="500"/>
      <c r="H585" s="500"/>
      <c r="I585" s="500"/>
      <c r="J585" s="501"/>
    </row>
    <row r="586" spans="1:10" ht="14.1" customHeight="1" x14ac:dyDescent="0.2">
      <c r="A586" s="109" t="s">
        <v>329</v>
      </c>
      <c r="B586" s="499" t="s">
        <v>330</v>
      </c>
      <c r="C586" s="500"/>
      <c r="D586" s="500"/>
      <c r="E586" s="500"/>
      <c r="F586" s="500"/>
      <c r="G586" s="500"/>
      <c r="H586" s="500"/>
      <c r="I586" s="500"/>
      <c r="J586" s="501"/>
    </row>
    <row r="587" spans="1:10" ht="14.1" customHeight="1" x14ac:dyDescent="0.2">
      <c r="A587" s="109" t="s">
        <v>331</v>
      </c>
      <c r="B587" s="499" t="s">
        <v>332</v>
      </c>
      <c r="C587" s="500"/>
      <c r="D587" s="500"/>
      <c r="E587" s="500"/>
      <c r="F587" s="500"/>
      <c r="G587" s="500"/>
      <c r="H587" s="500"/>
      <c r="I587" s="500"/>
      <c r="J587" s="501"/>
    </row>
    <row r="588" spans="1:10" ht="14.1" customHeight="1" x14ac:dyDescent="0.2">
      <c r="A588" s="109" t="s">
        <v>333</v>
      </c>
      <c r="B588" s="499" t="s">
        <v>334</v>
      </c>
      <c r="C588" s="500"/>
      <c r="D588" s="500"/>
      <c r="E588" s="500"/>
      <c r="F588" s="500"/>
      <c r="G588" s="500"/>
      <c r="H588" s="500"/>
      <c r="I588" s="500"/>
      <c r="J588" s="501"/>
    </row>
    <row r="589" spans="1:10" ht="14.1" customHeight="1" x14ac:dyDescent="0.2">
      <c r="A589" s="109" t="s">
        <v>335</v>
      </c>
      <c r="B589" s="499" t="s">
        <v>336</v>
      </c>
      <c r="C589" s="500"/>
      <c r="D589" s="500"/>
      <c r="E589" s="500"/>
      <c r="F589" s="500"/>
      <c r="G589" s="500"/>
      <c r="H589" s="500"/>
      <c r="I589" s="500"/>
      <c r="J589" s="501"/>
    </row>
    <row r="590" spans="1:10" ht="14.1" customHeight="1" x14ac:dyDescent="0.2">
      <c r="A590" s="109" t="s">
        <v>337</v>
      </c>
      <c r="B590" s="499" t="s">
        <v>338</v>
      </c>
      <c r="C590" s="500"/>
      <c r="D590" s="500"/>
      <c r="E590" s="500"/>
      <c r="F590" s="500"/>
      <c r="G590" s="500"/>
      <c r="H590" s="500"/>
      <c r="I590" s="500"/>
      <c r="J590" s="501"/>
    </row>
    <row r="591" spans="1:10" ht="14.1" customHeight="1" x14ac:dyDescent="0.2">
      <c r="A591" s="109" t="s">
        <v>339</v>
      </c>
      <c r="B591" s="499" t="s">
        <v>340</v>
      </c>
      <c r="C591" s="500"/>
      <c r="D591" s="500"/>
      <c r="E591" s="500"/>
      <c r="F591" s="500"/>
      <c r="G591" s="500"/>
      <c r="H591" s="500"/>
      <c r="I591" s="500"/>
      <c r="J591" s="501"/>
    </row>
    <row r="592" spans="1:10" ht="14.1" customHeight="1" x14ac:dyDescent="0.2">
      <c r="A592" s="109" t="s">
        <v>341</v>
      </c>
      <c r="B592" s="499" t="s">
        <v>342</v>
      </c>
      <c r="C592" s="500"/>
      <c r="D592" s="500"/>
      <c r="E592" s="500"/>
      <c r="F592" s="500"/>
      <c r="G592" s="500"/>
      <c r="H592" s="500"/>
      <c r="I592" s="500"/>
      <c r="J592" s="501"/>
    </row>
    <row r="593" spans="1:10" ht="14.1" customHeight="1" x14ac:dyDescent="0.2">
      <c r="A593" s="109" t="s">
        <v>343</v>
      </c>
      <c r="B593" s="499" t="s">
        <v>344</v>
      </c>
      <c r="C593" s="500"/>
      <c r="D593" s="500"/>
      <c r="E593" s="500"/>
      <c r="F593" s="500"/>
      <c r="G593" s="500"/>
      <c r="H593" s="500"/>
      <c r="I593" s="500"/>
      <c r="J593" s="501"/>
    </row>
    <row r="594" spans="1:10" ht="14.1" customHeight="1" x14ac:dyDescent="0.2">
      <c r="A594" s="109" t="s">
        <v>345</v>
      </c>
      <c r="B594" s="499" t="s">
        <v>2614</v>
      </c>
      <c r="C594" s="500"/>
      <c r="D594" s="500"/>
      <c r="E594" s="500"/>
      <c r="F594" s="500"/>
      <c r="G594" s="500"/>
      <c r="H594" s="500"/>
      <c r="I594" s="500"/>
      <c r="J594" s="501"/>
    </row>
    <row r="595" spans="1:10" ht="14.1" customHeight="1" x14ac:dyDescent="0.2">
      <c r="A595" s="109" t="s">
        <v>2615</v>
      </c>
      <c r="B595" s="499" t="s">
        <v>2616</v>
      </c>
      <c r="C595" s="500"/>
      <c r="D595" s="500"/>
      <c r="E595" s="500"/>
      <c r="F595" s="500"/>
      <c r="G595" s="500"/>
      <c r="H595" s="500"/>
      <c r="I595" s="500"/>
      <c r="J595" s="501"/>
    </row>
    <row r="596" spans="1:10" ht="14.1" customHeight="1" x14ac:dyDescent="0.2">
      <c r="A596" s="109" t="s">
        <v>2617</v>
      </c>
      <c r="B596" s="499" t="s">
        <v>906</v>
      </c>
      <c r="C596" s="500"/>
      <c r="D596" s="500"/>
      <c r="E596" s="500"/>
      <c r="F596" s="500"/>
      <c r="G596" s="500"/>
      <c r="H596" s="500"/>
      <c r="I596" s="500"/>
      <c r="J596" s="501"/>
    </row>
    <row r="597" spans="1:10" ht="14.1" customHeight="1" x14ac:dyDescent="0.2">
      <c r="A597" s="109" t="s">
        <v>907</v>
      </c>
      <c r="B597" s="499" t="s">
        <v>1245</v>
      </c>
      <c r="C597" s="500"/>
      <c r="D597" s="500"/>
      <c r="E597" s="500"/>
      <c r="F597" s="500"/>
      <c r="G597" s="500"/>
      <c r="H597" s="500"/>
      <c r="I597" s="500"/>
      <c r="J597" s="501"/>
    </row>
    <row r="598" spans="1:10" ht="14.1" customHeight="1" x14ac:dyDescent="0.2">
      <c r="A598" s="109" t="s">
        <v>1246</v>
      </c>
      <c r="B598" s="499" t="s">
        <v>1247</v>
      </c>
      <c r="C598" s="500"/>
      <c r="D598" s="500"/>
      <c r="E598" s="500"/>
      <c r="F598" s="500"/>
      <c r="G598" s="500"/>
      <c r="H598" s="500"/>
      <c r="I598" s="500"/>
      <c r="J598" s="501"/>
    </row>
    <row r="599" spans="1:10" ht="14.1" customHeight="1" x14ac:dyDescent="0.2">
      <c r="A599" s="109" t="s">
        <v>1248</v>
      </c>
      <c r="B599" s="499" t="s">
        <v>1249</v>
      </c>
      <c r="C599" s="500"/>
      <c r="D599" s="500"/>
      <c r="E599" s="500"/>
      <c r="F599" s="500"/>
      <c r="G599" s="500"/>
      <c r="H599" s="500"/>
      <c r="I599" s="500"/>
      <c r="J599" s="501"/>
    </row>
    <row r="600" spans="1:10" ht="14.1" customHeight="1" x14ac:dyDescent="0.2">
      <c r="A600" s="109" t="s">
        <v>1250</v>
      </c>
      <c r="B600" s="499" t="s">
        <v>1251</v>
      </c>
      <c r="C600" s="500"/>
      <c r="D600" s="500"/>
      <c r="E600" s="500"/>
      <c r="F600" s="500"/>
      <c r="G600" s="500"/>
      <c r="H600" s="500"/>
      <c r="I600" s="500"/>
      <c r="J600" s="501"/>
    </row>
    <row r="601" spans="1:10" ht="14.1" customHeight="1" x14ac:dyDescent="0.2">
      <c r="A601" s="109" t="s">
        <v>1560</v>
      </c>
      <c r="B601" s="499" t="s">
        <v>1561</v>
      </c>
      <c r="C601" s="500"/>
      <c r="D601" s="500"/>
      <c r="E601" s="500"/>
      <c r="F601" s="500"/>
      <c r="G601" s="500"/>
      <c r="H601" s="500"/>
      <c r="I601" s="500"/>
      <c r="J601" s="501"/>
    </row>
    <row r="602" spans="1:10" ht="14.1" customHeight="1" x14ac:dyDescent="0.2">
      <c r="A602" s="109" t="s">
        <v>1562</v>
      </c>
      <c r="B602" s="499" t="s">
        <v>1563</v>
      </c>
      <c r="C602" s="500"/>
      <c r="D602" s="500"/>
      <c r="E602" s="500"/>
      <c r="F602" s="500"/>
      <c r="G602" s="500"/>
      <c r="H602" s="500"/>
      <c r="I602" s="500"/>
      <c r="J602" s="501"/>
    </row>
    <row r="603" spans="1:10" ht="14.1" customHeight="1" x14ac:dyDescent="0.2">
      <c r="A603" s="109" t="s">
        <v>1564</v>
      </c>
      <c r="B603" s="499" t="s">
        <v>1565</v>
      </c>
      <c r="C603" s="500"/>
      <c r="D603" s="500"/>
      <c r="E603" s="500"/>
      <c r="F603" s="500"/>
      <c r="G603" s="500"/>
      <c r="H603" s="500"/>
      <c r="I603" s="500"/>
      <c r="J603" s="501"/>
    </row>
    <row r="604" spans="1:10" ht="14.1" customHeight="1" x14ac:dyDescent="0.2">
      <c r="A604" s="109" t="s">
        <v>1566</v>
      </c>
      <c r="B604" s="499" t="s">
        <v>1567</v>
      </c>
      <c r="C604" s="500"/>
      <c r="D604" s="500"/>
      <c r="E604" s="500"/>
      <c r="F604" s="500"/>
      <c r="G604" s="500"/>
      <c r="H604" s="500"/>
      <c r="I604" s="500"/>
      <c r="J604" s="501"/>
    </row>
    <row r="605" spans="1:10" ht="14.1" customHeight="1" x14ac:dyDescent="0.2">
      <c r="A605" s="109" t="s">
        <v>1568</v>
      </c>
      <c r="B605" s="499" t="s">
        <v>1569</v>
      </c>
      <c r="C605" s="500"/>
      <c r="D605" s="500"/>
      <c r="E605" s="500"/>
      <c r="F605" s="500"/>
      <c r="G605" s="500"/>
      <c r="H605" s="500"/>
      <c r="I605" s="500"/>
      <c r="J605" s="501"/>
    </row>
    <row r="606" spans="1:10" ht="14.1" customHeight="1" x14ac:dyDescent="0.2">
      <c r="A606" s="109" t="s">
        <v>1570</v>
      </c>
      <c r="B606" s="499" t="s">
        <v>25</v>
      </c>
      <c r="C606" s="500"/>
      <c r="D606" s="500"/>
      <c r="E606" s="500"/>
      <c r="F606" s="500"/>
      <c r="G606" s="500"/>
      <c r="H606" s="500"/>
      <c r="I606" s="500"/>
      <c r="J606" s="501"/>
    </row>
    <row r="607" spans="1:10" ht="14.1" customHeight="1" x14ac:dyDescent="0.2">
      <c r="A607" s="109" t="s">
        <v>26</v>
      </c>
      <c r="B607" s="499" t="s">
        <v>27</v>
      </c>
      <c r="C607" s="500"/>
      <c r="D607" s="500"/>
      <c r="E607" s="500"/>
      <c r="F607" s="500"/>
      <c r="G607" s="500"/>
      <c r="H607" s="500"/>
      <c r="I607" s="500"/>
      <c r="J607" s="501"/>
    </row>
    <row r="608" spans="1:10" ht="14.1" customHeight="1" x14ac:dyDescent="0.2">
      <c r="A608" s="109" t="s">
        <v>28</v>
      </c>
      <c r="B608" s="499" t="s">
        <v>29</v>
      </c>
      <c r="C608" s="500"/>
      <c r="D608" s="500"/>
      <c r="E608" s="500"/>
      <c r="F608" s="500"/>
      <c r="G608" s="500"/>
      <c r="H608" s="500"/>
      <c r="I608" s="500"/>
      <c r="J608" s="501"/>
    </row>
    <row r="609" spans="1:10" ht="14.1" customHeight="1" x14ac:dyDescent="0.2">
      <c r="A609" s="109" t="s">
        <v>30</v>
      </c>
      <c r="B609" s="499" t="s">
        <v>31</v>
      </c>
      <c r="C609" s="500"/>
      <c r="D609" s="500"/>
      <c r="E609" s="500"/>
      <c r="F609" s="500"/>
      <c r="G609" s="500"/>
      <c r="H609" s="500"/>
      <c r="I609" s="500"/>
      <c r="J609" s="501"/>
    </row>
    <row r="610" spans="1:10" ht="14.1" customHeight="1" x14ac:dyDescent="0.2">
      <c r="A610" s="109" t="s">
        <v>32</v>
      </c>
      <c r="B610" s="499" t="s">
        <v>33</v>
      </c>
      <c r="C610" s="500"/>
      <c r="D610" s="500"/>
      <c r="E610" s="500"/>
      <c r="F610" s="500"/>
      <c r="G610" s="500"/>
      <c r="H610" s="500"/>
      <c r="I610" s="500"/>
      <c r="J610" s="501"/>
    </row>
    <row r="611" spans="1:10" ht="14.1" customHeight="1" x14ac:dyDescent="0.2">
      <c r="A611" s="109" t="s">
        <v>34</v>
      </c>
      <c r="B611" s="499" t="s">
        <v>38</v>
      </c>
      <c r="C611" s="500"/>
      <c r="D611" s="500"/>
      <c r="E611" s="500"/>
      <c r="F611" s="500"/>
      <c r="G611" s="500"/>
      <c r="H611" s="500"/>
      <c r="I611" s="500"/>
      <c r="J611" s="501"/>
    </row>
    <row r="612" spans="1:10" ht="14.1" customHeight="1" x14ac:dyDescent="0.2">
      <c r="A612" s="109" t="s">
        <v>39</v>
      </c>
      <c r="B612" s="499" t="s">
        <v>40</v>
      </c>
      <c r="C612" s="500"/>
      <c r="D612" s="500"/>
      <c r="E612" s="500"/>
      <c r="F612" s="500"/>
      <c r="G612" s="500"/>
      <c r="H612" s="500"/>
      <c r="I612" s="500"/>
      <c r="J612" s="501"/>
    </row>
    <row r="613" spans="1:10" ht="14.1" customHeight="1" x14ac:dyDescent="0.2">
      <c r="A613" s="109" t="s">
        <v>41</v>
      </c>
      <c r="B613" s="499" t="s">
        <v>42</v>
      </c>
      <c r="C613" s="500"/>
      <c r="D613" s="500"/>
      <c r="E613" s="500"/>
      <c r="F613" s="500"/>
      <c r="G613" s="500"/>
      <c r="H613" s="500"/>
      <c r="I613" s="500"/>
      <c r="J613" s="501"/>
    </row>
    <row r="614" spans="1:10" ht="14.1" customHeight="1" x14ac:dyDescent="0.2">
      <c r="A614" s="109" t="s">
        <v>43</v>
      </c>
      <c r="B614" s="499" t="s">
        <v>44</v>
      </c>
      <c r="C614" s="500"/>
      <c r="D614" s="500"/>
      <c r="E614" s="500"/>
      <c r="F614" s="500"/>
      <c r="G614" s="500"/>
      <c r="H614" s="500"/>
      <c r="I614" s="500"/>
      <c r="J614" s="501"/>
    </row>
    <row r="615" spans="1:10" ht="14.1" customHeight="1" x14ac:dyDescent="0.2">
      <c r="A615" s="109" t="s">
        <v>45</v>
      </c>
      <c r="B615" s="499" t="s">
        <v>46</v>
      </c>
      <c r="C615" s="500"/>
      <c r="D615" s="500"/>
      <c r="E615" s="500"/>
      <c r="F615" s="500"/>
      <c r="G615" s="500"/>
      <c r="H615" s="500"/>
      <c r="I615" s="500"/>
      <c r="J615" s="501"/>
    </row>
    <row r="616" spans="1:10" ht="14.1" customHeight="1" x14ac:dyDescent="0.2">
      <c r="A616" s="109" t="s">
        <v>47</v>
      </c>
      <c r="B616" s="499" t="s">
        <v>48</v>
      </c>
      <c r="C616" s="500"/>
      <c r="D616" s="500"/>
      <c r="E616" s="500"/>
      <c r="F616" s="500"/>
      <c r="G616" s="500"/>
      <c r="H616" s="500"/>
      <c r="I616" s="500"/>
      <c r="J616" s="501"/>
    </row>
    <row r="617" spans="1:10" ht="14.1" customHeight="1" x14ac:dyDescent="0.2">
      <c r="A617" s="109" t="s">
        <v>49</v>
      </c>
      <c r="B617" s="499" t="s">
        <v>50</v>
      </c>
      <c r="C617" s="500"/>
      <c r="D617" s="500"/>
      <c r="E617" s="500"/>
      <c r="F617" s="500"/>
      <c r="G617" s="500"/>
      <c r="H617" s="500"/>
      <c r="I617" s="500"/>
      <c r="J617" s="501"/>
    </row>
    <row r="618" spans="1:10" ht="14.1" customHeight="1" x14ac:dyDescent="0.2">
      <c r="A618" s="109" t="s">
        <v>51</v>
      </c>
      <c r="B618" s="499" t="s">
        <v>52</v>
      </c>
      <c r="C618" s="500"/>
      <c r="D618" s="500"/>
      <c r="E618" s="500"/>
      <c r="F618" s="500"/>
      <c r="G618" s="500"/>
      <c r="H618" s="500"/>
      <c r="I618" s="500"/>
      <c r="J618" s="501"/>
    </row>
    <row r="619" spans="1:10" ht="14.1" customHeight="1" x14ac:dyDescent="0.2">
      <c r="A619" s="110" t="s">
        <v>53</v>
      </c>
      <c r="B619" s="502" t="s">
        <v>1188</v>
      </c>
      <c r="C619" s="503"/>
      <c r="D619" s="503"/>
      <c r="E619" s="503"/>
      <c r="F619" s="503"/>
      <c r="G619" s="503"/>
      <c r="H619" s="503"/>
      <c r="I619" s="503"/>
      <c r="J619" s="504"/>
    </row>
    <row r="620" spans="1:10" ht="5.0999999999999996" customHeight="1" x14ac:dyDescent="0.2"/>
  </sheetData>
  <sheetProtection password="C79A" sheet="1" objects="1"/>
  <mergeCells count="618">
    <mergeCell ref="B8:J8"/>
    <mergeCell ref="B9:J9"/>
    <mergeCell ref="B10:J10"/>
    <mergeCell ref="B11:J11"/>
    <mergeCell ref="A3:J3"/>
    <mergeCell ref="B5:J5"/>
    <mergeCell ref="B6:J6"/>
    <mergeCell ref="B7:J7"/>
    <mergeCell ref="B4:J4"/>
    <mergeCell ref="B16:J16"/>
    <mergeCell ref="B17:J17"/>
    <mergeCell ref="B18:J18"/>
    <mergeCell ref="B19:J19"/>
    <mergeCell ref="B12:J12"/>
    <mergeCell ref="B13:J13"/>
    <mergeCell ref="B14:J14"/>
    <mergeCell ref="B15:J15"/>
    <mergeCell ref="B24:J24"/>
    <mergeCell ref="B25:J25"/>
    <mergeCell ref="B26:J26"/>
    <mergeCell ref="B27:J27"/>
    <mergeCell ref="B20:J20"/>
    <mergeCell ref="B21:J21"/>
    <mergeCell ref="B22:J22"/>
    <mergeCell ref="B23:J23"/>
    <mergeCell ref="B32:J32"/>
    <mergeCell ref="B33:J33"/>
    <mergeCell ref="B34:J34"/>
    <mergeCell ref="B35:J35"/>
    <mergeCell ref="B28:J28"/>
    <mergeCell ref="B29:J29"/>
    <mergeCell ref="B30:J30"/>
    <mergeCell ref="B31:J31"/>
    <mergeCell ref="B40:J40"/>
    <mergeCell ref="B41:J41"/>
    <mergeCell ref="B42:J42"/>
    <mergeCell ref="B43:J43"/>
    <mergeCell ref="B36:J36"/>
    <mergeCell ref="B37:J37"/>
    <mergeCell ref="B38:J38"/>
    <mergeCell ref="B39:J39"/>
    <mergeCell ref="B48:J48"/>
    <mergeCell ref="B49:J49"/>
    <mergeCell ref="B50:J50"/>
    <mergeCell ref="B51:J51"/>
    <mergeCell ref="B44:J44"/>
    <mergeCell ref="B45:J45"/>
    <mergeCell ref="B46:J46"/>
    <mergeCell ref="B47:J47"/>
    <mergeCell ref="B56:J56"/>
    <mergeCell ref="B57:J57"/>
    <mergeCell ref="B58:J58"/>
    <mergeCell ref="B59:J59"/>
    <mergeCell ref="B52:J52"/>
    <mergeCell ref="B53:J53"/>
    <mergeCell ref="B54:J54"/>
    <mergeCell ref="B55:J55"/>
    <mergeCell ref="B64:J64"/>
    <mergeCell ref="B65:J65"/>
    <mergeCell ref="B66:J66"/>
    <mergeCell ref="B67:J67"/>
    <mergeCell ref="B60:J60"/>
    <mergeCell ref="B61:J61"/>
    <mergeCell ref="B62:J62"/>
    <mergeCell ref="B63:J63"/>
    <mergeCell ref="B72:J72"/>
    <mergeCell ref="B73:J73"/>
    <mergeCell ref="B74:J74"/>
    <mergeCell ref="B75:J75"/>
    <mergeCell ref="B68:J68"/>
    <mergeCell ref="B69:J69"/>
    <mergeCell ref="B70:J70"/>
    <mergeCell ref="B71:J71"/>
    <mergeCell ref="B80:J80"/>
    <mergeCell ref="B81:J81"/>
    <mergeCell ref="B82:J82"/>
    <mergeCell ref="B83:J83"/>
    <mergeCell ref="B76:J76"/>
    <mergeCell ref="B77:J77"/>
    <mergeCell ref="B78:J78"/>
    <mergeCell ref="B79:J79"/>
    <mergeCell ref="B88:J88"/>
    <mergeCell ref="B89:J89"/>
    <mergeCell ref="B90:J90"/>
    <mergeCell ref="B91:J91"/>
    <mergeCell ref="B84:J84"/>
    <mergeCell ref="B85:J85"/>
    <mergeCell ref="B86:J86"/>
    <mergeCell ref="B87:J87"/>
    <mergeCell ref="B96:J96"/>
    <mergeCell ref="B97:J97"/>
    <mergeCell ref="B98:J98"/>
    <mergeCell ref="B99:J99"/>
    <mergeCell ref="B92:J92"/>
    <mergeCell ref="B93:J93"/>
    <mergeCell ref="B94:J94"/>
    <mergeCell ref="B95:J95"/>
    <mergeCell ref="B104:J104"/>
    <mergeCell ref="B105:J105"/>
    <mergeCell ref="B106:J106"/>
    <mergeCell ref="B107:J107"/>
    <mergeCell ref="B100:J100"/>
    <mergeCell ref="B101:J101"/>
    <mergeCell ref="B102:J102"/>
    <mergeCell ref="B103:J103"/>
    <mergeCell ref="B112:J112"/>
    <mergeCell ref="B113:J113"/>
    <mergeCell ref="B114:J114"/>
    <mergeCell ref="B115:J115"/>
    <mergeCell ref="B108:J108"/>
    <mergeCell ref="B109:J109"/>
    <mergeCell ref="B110:J110"/>
    <mergeCell ref="B111:J111"/>
    <mergeCell ref="B120:J120"/>
    <mergeCell ref="B121:J121"/>
    <mergeCell ref="B122:J122"/>
    <mergeCell ref="B123:J123"/>
    <mergeCell ref="B116:J116"/>
    <mergeCell ref="B117:J117"/>
    <mergeCell ref="B118:J118"/>
    <mergeCell ref="B119:J119"/>
    <mergeCell ref="B128:J128"/>
    <mergeCell ref="B129:J129"/>
    <mergeCell ref="B130:J130"/>
    <mergeCell ref="B131:J131"/>
    <mergeCell ref="B124:J124"/>
    <mergeCell ref="B125:J125"/>
    <mergeCell ref="B126:J126"/>
    <mergeCell ref="B127:J127"/>
    <mergeCell ref="B136:J136"/>
    <mergeCell ref="B137:J137"/>
    <mergeCell ref="B138:J138"/>
    <mergeCell ref="B139:J139"/>
    <mergeCell ref="B132:J132"/>
    <mergeCell ref="B133:J133"/>
    <mergeCell ref="B134:J134"/>
    <mergeCell ref="B135:J135"/>
    <mergeCell ref="B144:J144"/>
    <mergeCell ref="B145:J145"/>
    <mergeCell ref="B146:J146"/>
    <mergeCell ref="B147:J147"/>
    <mergeCell ref="B140:J140"/>
    <mergeCell ref="B141:J141"/>
    <mergeCell ref="B142:J142"/>
    <mergeCell ref="B143:J143"/>
    <mergeCell ref="B152:J152"/>
    <mergeCell ref="B153:J153"/>
    <mergeCell ref="B154:J154"/>
    <mergeCell ref="B155:J155"/>
    <mergeCell ref="B148:J148"/>
    <mergeCell ref="B149:J149"/>
    <mergeCell ref="B150:J150"/>
    <mergeCell ref="B151:J151"/>
    <mergeCell ref="B160:J160"/>
    <mergeCell ref="B161:J161"/>
    <mergeCell ref="B162:J162"/>
    <mergeCell ref="B163:J163"/>
    <mergeCell ref="B156:J156"/>
    <mergeCell ref="B157:J157"/>
    <mergeCell ref="B158:J158"/>
    <mergeCell ref="B159:J159"/>
    <mergeCell ref="B168:J168"/>
    <mergeCell ref="B169:J169"/>
    <mergeCell ref="B170:J170"/>
    <mergeCell ref="B171:J171"/>
    <mergeCell ref="B164:J164"/>
    <mergeCell ref="B165:J165"/>
    <mergeCell ref="B166:J166"/>
    <mergeCell ref="B167:J167"/>
    <mergeCell ref="B176:J176"/>
    <mergeCell ref="B177:J177"/>
    <mergeCell ref="B178:J178"/>
    <mergeCell ref="B179:J179"/>
    <mergeCell ref="B172:J172"/>
    <mergeCell ref="B173:J173"/>
    <mergeCell ref="B174:J174"/>
    <mergeCell ref="B175:J175"/>
    <mergeCell ref="B184:J184"/>
    <mergeCell ref="B185:J185"/>
    <mergeCell ref="B186:J186"/>
    <mergeCell ref="B187:J187"/>
    <mergeCell ref="B180:J180"/>
    <mergeCell ref="B181:J181"/>
    <mergeCell ref="B182:J182"/>
    <mergeCell ref="B183:J183"/>
    <mergeCell ref="B192:J192"/>
    <mergeCell ref="B193:J193"/>
    <mergeCell ref="B194:J194"/>
    <mergeCell ref="B195:J195"/>
    <mergeCell ref="B188:J188"/>
    <mergeCell ref="B189:J189"/>
    <mergeCell ref="B190:J190"/>
    <mergeCell ref="B191:J191"/>
    <mergeCell ref="B200:J200"/>
    <mergeCell ref="B201:J201"/>
    <mergeCell ref="B202:J202"/>
    <mergeCell ref="B203:J203"/>
    <mergeCell ref="B196:J196"/>
    <mergeCell ref="B197:J197"/>
    <mergeCell ref="B198:J198"/>
    <mergeCell ref="B199:J199"/>
    <mergeCell ref="B208:J208"/>
    <mergeCell ref="B209:J209"/>
    <mergeCell ref="B210:J210"/>
    <mergeCell ref="B211:J211"/>
    <mergeCell ref="B204:J204"/>
    <mergeCell ref="B205:J205"/>
    <mergeCell ref="B206:J206"/>
    <mergeCell ref="B207:J207"/>
    <mergeCell ref="B216:J216"/>
    <mergeCell ref="B217:J217"/>
    <mergeCell ref="B218:J218"/>
    <mergeCell ref="B219:J219"/>
    <mergeCell ref="B212:J212"/>
    <mergeCell ref="B213:J213"/>
    <mergeCell ref="B214:J214"/>
    <mergeCell ref="B215:J215"/>
    <mergeCell ref="B224:J224"/>
    <mergeCell ref="B225:J225"/>
    <mergeCell ref="B226:J226"/>
    <mergeCell ref="B227:J227"/>
    <mergeCell ref="B220:J220"/>
    <mergeCell ref="B221:J221"/>
    <mergeCell ref="B222:J222"/>
    <mergeCell ref="B223:J223"/>
    <mergeCell ref="B232:J232"/>
    <mergeCell ref="B233:J233"/>
    <mergeCell ref="B234:J234"/>
    <mergeCell ref="B235:J235"/>
    <mergeCell ref="B228:J228"/>
    <mergeCell ref="B229:J229"/>
    <mergeCell ref="B230:J230"/>
    <mergeCell ref="B231:J231"/>
    <mergeCell ref="B240:J240"/>
    <mergeCell ref="B241:J241"/>
    <mergeCell ref="B242:J242"/>
    <mergeCell ref="B243:J243"/>
    <mergeCell ref="B236:J236"/>
    <mergeCell ref="B237:J237"/>
    <mergeCell ref="B238:J238"/>
    <mergeCell ref="B239:J239"/>
    <mergeCell ref="B248:J248"/>
    <mergeCell ref="B249:J249"/>
    <mergeCell ref="B250:J250"/>
    <mergeCell ref="B251:J251"/>
    <mergeCell ref="B244:J244"/>
    <mergeCell ref="B245:J245"/>
    <mergeCell ref="B246:J246"/>
    <mergeCell ref="B247:J247"/>
    <mergeCell ref="B256:J256"/>
    <mergeCell ref="B257:J257"/>
    <mergeCell ref="B258:J258"/>
    <mergeCell ref="B259:J259"/>
    <mergeCell ref="B252:J252"/>
    <mergeCell ref="B253:J253"/>
    <mergeCell ref="B254:J254"/>
    <mergeCell ref="B255:J255"/>
    <mergeCell ref="B264:J264"/>
    <mergeCell ref="B265:J265"/>
    <mergeCell ref="B266:J266"/>
    <mergeCell ref="B267:J267"/>
    <mergeCell ref="B260:J260"/>
    <mergeCell ref="B261:J261"/>
    <mergeCell ref="B262:J262"/>
    <mergeCell ref="B263:J263"/>
    <mergeCell ref="B272:J272"/>
    <mergeCell ref="B273:J273"/>
    <mergeCell ref="B274:J274"/>
    <mergeCell ref="B275:J275"/>
    <mergeCell ref="B268:J268"/>
    <mergeCell ref="B269:J269"/>
    <mergeCell ref="B270:J270"/>
    <mergeCell ref="B271:J271"/>
    <mergeCell ref="B280:J280"/>
    <mergeCell ref="B281:J281"/>
    <mergeCell ref="B282:J282"/>
    <mergeCell ref="B283:J283"/>
    <mergeCell ref="B276:J276"/>
    <mergeCell ref="B277:J277"/>
    <mergeCell ref="B278:J278"/>
    <mergeCell ref="B279:J279"/>
    <mergeCell ref="B288:J288"/>
    <mergeCell ref="B289:J289"/>
    <mergeCell ref="B290:J290"/>
    <mergeCell ref="B291:J291"/>
    <mergeCell ref="B284:J284"/>
    <mergeCell ref="B285:J285"/>
    <mergeCell ref="B286:J286"/>
    <mergeCell ref="B287:J287"/>
    <mergeCell ref="B296:J296"/>
    <mergeCell ref="B297:J297"/>
    <mergeCell ref="B298:J298"/>
    <mergeCell ref="B299:J299"/>
    <mergeCell ref="B292:J292"/>
    <mergeCell ref="B293:J293"/>
    <mergeCell ref="B294:J294"/>
    <mergeCell ref="B295:J295"/>
    <mergeCell ref="B304:J304"/>
    <mergeCell ref="B305:J305"/>
    <mergeCell ref="B306:J306"/>
    <mergeCell ref="B307:J307"/>
    <mergeCell ref="B300:J300"/>
    <mergeCell ref="B301:J301"/>
    <mergeCell ref="B302:J302"/>
    <mergeCell ref="B303:J303"/>
    <mergeCell ref="B312:J312"/>
    <mergeCell ref="B313:J313"/>
    <mergeCell ref="B314:J314"/>
    <mergeCell ref="B315:J315"/>
    <mergeCell ref="B308:J308"/>
    <mergeCell ref="B309:J309"/>
    <mergeCell ref="B310:J310"/>
    <mergeCell ref="B311:J311"/>
    <mergeCell ref="B320:J320"/>
    <mergeCell ref="B321:J321"/>
    <mergeCell ref="B322:J322"/>
    <mergeCell ref="B323:J323"/>
    <mergeCell ref="B316:J316"/>
    <mergeCell ref="B317:J317"/>
    <mergeCell ref="B318:J318"/>
    <mergeCell ref="B319:J319"/>
    <mergeCell ref="B328:J328"/>
    <mergeCell ref="B329:J329"/>
    <mergeCell ref="B330:J330"/>
    <mergeCell ref="B331:J331"/>
    <mergeCell ref="B324:J324"/>
    <mergeCell ref="B325:J325"/>
    <mergeCell ref="B326:J326"/>
    <mergeCell ref="B327:J327"/>
    <mergeCell ref="B336:J336"/>
    <mergeCell ref="B337:J337"/>
    <mergeCell ref="B338:J338"/>
    <mergeCell ref="B339:J339"/>
    <mergeCell ref="B332:J332"/>
    <mergeCell ref="B333:J333"/>
    <mergeCell ref="B334:J334"/>
    <mergeCell ref="B335:J335"/>
    <mergeCell ref="B344:J344"/>
    <mergeCell ref="B345:J345"/>
    <mergeCell ref="B346:J346"/>
    <mergeCell ref="B347:J347"/>
    <mergeCell ref="B340:J340"/>
    <mergeCell ref="B341:J341"/>
    <mergeCell ref="B342:J342"/>
    <mergeCell ref="B343:J343"/>
    <mergeCell ref="B352:J352"/>
    <mergeCell ref="B353:J353"/>
    <mergeCell ref="B354:J354"/>
    <mergeCell ref="B355:J355"/>
    <mergeCell ref="B348:J348"/>
    <mergeCell ref="B349:J349"/>
    <mergeCell ref="B350:J350"/>
    <mergeCell ref="B351:J351"/>
    <mergeCell ref="B360:J360"/>
    <mergeCell ref="B361:J361"/>
    <mergeCell ref="B362:J362"/>
    <mergeCell ref="B363:J363"/>
    <mergeCell ref="B356:J356"/>
    <mergeCell ref="B357:J357"/>
    <mergeCell ref="B358:J358"/>
    <mergeCell ref="B359:J359"/>
    <mergeCell ref="B368:J368"/>
    <mergeCell ref="B369:J369"/>
    <mergeCell ref="B370:J370"/>
    <mergeCell ref="B371:J371"/>
    <mergeCell ref="B364:J364"/>
    <mergeCell ref="B365:J365"/>
    <mergeCell ref="B366:J366"/>
    <mergeCell ref="B367:J367"/>
    <mergeCell ref="B376:J376"/>
    <mergeCell ref="B377:J377"/>
    <mergeCell ref="B378:J378"/>
    <mergeCell ref="B379:J379"/>
    <mergeCell ref="B372:J372"/>
    <mergeCell ref="B373:J373"/>
    <mergeCell ref="B374:J374"/>
    <mergeCell ref="B375:J375"/>
    <mergeCell ref="B384:J384"/>
    <mergeCell ref="B385:J385"/>
    <mergeCell ref="B386:J386"/>
    <mergeCell ref="B387:J387"/>
    <mergeCell ref="B380:J380"/>
    <mergeCell ref="B381:J381"/>
    <mergeCell ref="B382:J382"/>
    <mergeCell ref="B383:J383"/>
    <mergeCell ref="B392:J392"/>
    <mergeCell ref="B393:J393"/>
    <mergeCell ref="B394:J394"/>
    <mergeCell ref="B395:J395"/>
    <mergeCell ref="B388:J388"/>
    <mergeCell ref="B389:J389"/>
    <mergeCell ref="B390:J390"/>
    <mergeCell ref="B391:J391"/>
    <mergeCell ref="B400:J400"/>
    <mergeCell ref="B401:J401"/>
    <mergeCell ref="B402:J402"/>
    <mergeCell ref="B403:J403"/>
    <mergeCell ref="B396:J396"/>
    <mergeCell ref="B397:J397"/>
    <mergeCell ref="B398:J398"/>
    <mergeCell ref="B399:J399"/>
    <mergeCell ref="B408:J408"/>
    <mergeCell ref="B409:J409"/>
    <mergeCell ref="B410:J410"/>
    <mergeCell ref="B411:J411"/>
    <mergeCell ref="B404:J404"/>
    <mergeCell ref="B405:J405"/>
    <mergeCell ref="B406:J406"/>
    <mergeCell ref="B407:J407"/>
    <mergeCell ref="B416:J416"/>
    <mergeCell ref="B417:J417"/>
    <mergeCell ref="B418:J418"/>
    <mergeCell ref="B419:J419"/>
    <mergeCell ref="B412:J412"/>
    <mergeCell ref="B413:J413"/>
    <mergeCell ref="B414:J414"/>
    <mergeCell ref="B415:J415"/>
    <mergeCell ref="B424:J424"/>
    <mergeCell ref="B425:J425"/>
    <mergeCell ref="B426:J426"/>
    <mergeCell ref="B427:J427"/>
    <mergeCell ref="B420:J420"/>
    <mergeCell ref="B421:J421"/>
    <mergeCell ref="B422:J422"/>
    <mergeCell ref="B423:J423"/>
    <mergeCell ref="B432:J432"/>
    <mergeCell ref="B433:J433"/>
    <mergeCell ref="B434:J434"/>
    <mergeCell ref="B435:J435"/>
    <mergeCell ref="B428:J428"/>
    <mergeCell ref="B429:J429"/>
    <mergeCell ref="B430:J430"/>
    <mergeCell ref="B431:J431"/>
    <mergeCell ref="B440:J440"/>
    <mergeCell ref="B441:J441"/>
    <mergeCell ref="B442:J442"/>
    <mergeCell ref="B443:J443"/>
    <mergeCell ref="B436:J436"/>
    <mergeCell ref="B437:J437"/>
    <mergeCell ref="B438:J438"/>
    <mergeCell ref="B439:J439"/>
    <mergeCell ref="B448:J448"/>
    <mergeCell ref="B449:J449"/>
    <mergeCell ref="B450:J450"/>
    <mergeCell ref="B451:J451"/>
    <mergeCell ref="B444:J444"/>
    <mergeCell ref="B445:J445"/>
    <mergeCell ref="B446:J446"/>
    <mergeCell ref="B447:J447"/>
    <mergeCell ref="B456:J456"/>
    <mergeCell ref="B457:J457"/>
    <mergeCell ref="B458:J458"/>
    <mergeCell ref="B459:J459"/>
    <mergeCell ref="B452:J452"/>
    <mergeCell ref="B453:J453"/>
    <mergeCell ref="B454:J454"/>
    <mergeCell ref="B455:J455"/>
    <mergeCell ref="B464:J464"/>
    <mergeCell ref="B465:J465"/>
    <mergeCell ref="B466:J466"/>
    <mergeCell ref="B467:J467"/>
    <mergeCell ref="B460:J460"/>
    <mergeCell ref="B461:J461"/>
    <mergeCell ref="B462:J462"/>
    <mergeCell ref="B463:J463"/>
    <mergeCell ref="B472:J472"/>
    <mergeCell ref="B473:J473"/>
    <mergeCell ref="B474:J474"/>
    <mergeCell ref="B475:J475"/>
    <mergeCell ref="B468:J468"/>
    <mergeCell ref="B469:J469"/>
    <mergeCell ref="B470:J470"/>
    <mergeCell ref="B471:J471"/>
    <mergeCell ref="B480:J480"/>
    <mergeCell ref="B481:J481"/>
    <mergeCell ref="B482:J482"/>
    <mergeCell ref="B483:J483"/>
    <mergeCell ref="B476:J476"/>
    <mergeCell ref="B477:J477"/>
    <mergeCell ref="B478:J478"/>
    <mergeCell ref="B479:J479"/>
    <mergeCell ref="B488:J488"/>
    <mergeCell ref="B489:J489"/>
    <mergeCell ref="B490:J490"/>
    <mergeCell ref="B491:J491"/>
    <mergeCell ref="B484:J484"/>
    <mergeCell ref="B485:J485"/>
    <mergeCell ref="B486:J486"/>
    <mergeCell ref="B487:J487"/>
    <mergeCell ref="B496:J496"/>
    <mergeCell ref="B497:J497"/>
    <mergeCell ref="B498:J498"/>
    <mergeCell ref="B499:J499"/>
    <mergeCell ref="B492:J492"/>
    <mergeCell ref="B493:J493"/>
    <mergeCell ref="B494:J494"/>
    <mergeCell ref="B495:J495"/>
    <mergeCell ref="B504:J504"/>
    <mergeCell ref="B505:J505"/>
    <mergeCell ref="B506:J506"/>
    <mergeCell ref="B507:J507"/>
    <mergeCell ref="B500:J500"/>
    <mergeCell ref="B501:J501"/>
    <mergeCell ref="B502:J502"/>
    <mergeCell ref="B503:J503"/>
    <mergeCell ref="B512:J512"/>
    <mergeCell ref="B513:J513"/>
    <mergeCell ref="B514:J514"/>
    <mergeCell ref="B515:J515"/>
    <mergeCell ref="B508:J508"/>
    <mergeCell ref="B509:J509"/>
    <mergeCell ref="B510:J510"/>
    <mergeCell ref="B511:J511"/>
    <mergeCell ref="B520:J520"/>
    <mergeCell ref="B521:J521"/>
    <mergeCell ref="B522:J522"/>
    <mergeCell ref="B523:J523"/>
    <mergeCell ref="B516:J516"/>
    <mergeCell ref="B517:J517"/>
    <mergeCell ref="B518:J518"/>
    <mergeCell ref="B519:J519"/>
    <mergeCell ref="B528:J528"/>
    <mergeCell ref="B529:J529"/>
    <mergeCell ref="B530:J530"/>
    <mergeCell ref="B531:J531"/>
    <mergeCell ref="B524:J524"/>
    <mergeCell ref="B525:J525"/>
    <mergeCell ref="B526:J526"/>
    <mergeCell ref="B527:J527"/>
    <mergeCell ref="B536:J536"/>
    <mergeCell ref="B537:J537"/>
    <mergeCell ref="B538:J538"/>
    <mergeCell ref="B539:J539"/>
    <mergeCell ref="B532:J532"/>
    <mergeCell ref="B533:J533"/>
    <mergeCell ref="B534:J534"/>
    <mergeCell ref="B535:J535"/>
    <mergeCell ref="B544:J544"/>
    <mergeCell ref="B545:J545"/>
    <mergeCell ref="B546:J546"/>
    <mergeCell ref="B547:J547"/>
    <mergeCell ref="B540:J540"/>
    <mergeCell ref="B541:J541"/>
    <mergeCell ref="B542:J542"/>
    <mergeCell ref="B543:J543"/>
    <mergeCell ref="B552:J552"/>
    <mergeCell ref="B553:J553"/>
    <mergeCell ref="B554:J554"/>
    <mergeCell ref="B555:J555"/>
    <mergeCell ref="B548:J548"/>
    <mergeCell ref="B549:J549"/>
    <mergeCell ref="B550:J550"/>
    <mergeCell ref="B551:J551"/>
    <mergeCell ref="B560:J560"/>
    <mergeCell ref="B561:J561"/>
    <mergeCell ref="B562:J562"/>
    <mergeCell ref="B563:J563"/>
    <mergeCell ref="B556:J556"/>
    <mergeCell ref="B557:J557"/>
    <mergeCell ref="B558:J558"/>
    <mergeCell ref="B559:J559"/>
    <mergeCell ref="B568:J568"/>
    <mergeCell ref="B569:J569"/>
    <mergeCell ref="B570:J570"/>
    <mergeCell ref="B571:J571"/>
    <mergeCell ref="B564:J564"/>
    <mergeCell ref="B565:J565"/>
    <mergeCell ref="B566:J566"/>
    <mergeCell ref="B567:J567"/>
    <mergeCell ref="B576:J576"/>
    <mergeCell ref="B577:J577"/>
    <mergeCell ref="B578:J578"/>
    <mergeCell ref="B579:J579"/>
    <mergeCell ref="B572:J572"/>
    <mergeCell ref="B573:J573"/>
    <mergeCell ref="B574:J574"/>
    <mergeCell ref="B575:J575"/>
    <mergeCell ref="B584:J584"/>
    <mergeCell ref="B585:J585"/>
    <mergeCell ref="B586:J586"/>
    <mergeCell ref="B587:J587"/>
    <mergeCell ref="B580:J580"/>
    <mergeCell ref="B581:J581"/>
    <mergeCell ref="B582:J582"/>
    <mergeCell ref="B583:J583"/>
    <mergeCell ref="B592:J592"/>
    <mergeCell ref="B593:J593"/>
    <mergeCell ref="B594:J594"/>
    <mergeCell ref="B595:J595"/>
    <mergeCell ref="B588:J588"/>
    <mergeCell ref="B589:J589"/>
    <mergeCell ref="B590:J590"/>
    <mergeCell ref="B591:J591"/>
    <mergeCell ref="B600:J600"/>
    <mergeCell ref="B601:J601"/>
    <mergeCell ref="B602:J602"/>
    <mergeCell ref="B603:J603"/>
    <mergeCell ref="B596:J596"/>
    <mergeCell ref="B597:J597"/>
    <mergeCell ref="B598:J598"/>
    <mergeCell ref="B599:J599"/>
    <mergeCell ref="B619:J619"/>
    <mergeCell ref="B612:J612"/>
    <mergeCell ref="B613:J613"/>
    <mergeCell ref="B614:J614"/>
    <mergeCell ref="B615:J615"/>
    <mergeCell ref="B606:J606"/>
    <mergeCell ref="B607:J607"/>
    <mergeCell ref="A1:B2"/>
    <mergeCell ref="B616:J616"/>
    <mergeCell ref="B617:J617"/>
    <mergeCell ref="B618:J618"/>
    <mergeCell ref="B608:J608"/>
    <mergeCell ref="B609:J609"/>
    <mergeCell ref="B610:J610"/>
    <mergeCell ref="B611:J611"/>
    <mergeCell ref="B604:J604"/>
    <mergeCell ref="B605:J605"/>
  </mergeCells>
  <phoneticPr fontId="2" type="noConversion"/>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ageMargins left="0.39370078740157483" right="0.39370078740157483" top="0.39370078740157483" bottom="0.59055118110236227" header="0.39370078740157483" footer="0.39370078740157483"/>
  <pageSetup paperSize="9" scale="90" fitToHeight="0"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J191"/>
  <sheetViews>
    <sheetView showGridLines="0" showRowColHeaders="0" workbookViewId="0">
      <pane ySplit="4" topLeftCell="A5" activePane="bottomLeft" state="frozen"/>
      <selection pane="bottomLeft" activeCell="A5" sqref="A5"/>
    </sheetView>
  </sheetViews>
  <sheetFormatPr defaultColWidth="0" defaultRowHeight="12" zeroHeight="1" x14ac:dyDescent="0.2"/>
  <cols>
    <col min="1" max="1" width="8.7109375" style="24" customWidth="1"/>
    <col min="2" max="3" width="10.7109375" style="24" customWidth="1"/>
    <col min="4" max="5" width="8.7109375" style="24" customWidth="1"/>
    <col min="6" max="7" width="10.7109375" style="24" customWidth="1"/>
    <col min="8" max="9" width="8.7109375" style="24" customWidth="1"/>
    <col min="10" max="10" width="20.7109375" style="24" customWidth="1"/>
    <col min="11" max="11" width="0.85546875" style="24" customWidth="1"/>
    <col min="12" max="16384" width="0" style="24" hidden="1"/>
  </cols>
  <sheetData>
    <row r="1" spans="1:10" customFormat="1" ht="20.100000000000001" customHeight="1" x14ac:dyDescent="0.2">
      <c r="A1" s="312" t="s">
        <v>559</v>
      </c>
      <c r="B1" s="313"/>
      <c r="C1" s="126" t="s">
        <v>95</v>
      </c>
      <c r="D1" s="123" t="s">
        <v>560</v>
      </c>
      <c r="E1" s="123" t="s">
        <v>1410</v>
      </c>
      <c r="F1" s="144" t="s">
        <v>2177</v>
      </c>
      <c r="G1" s="123" t="s">
        <v>96</v>
      </c>
      <c r="H1" s="144" t="s">
        <v>97</v>
      </c>
      <c r="I1" s="123" t="s">
        <v>1411</v>
      </c>
      <c r="J1" s="124" t="s">
        <v>98</v>
      </c>
    </row>
    <row r="2" spans="1:10" s="3" customFormat="1" ht="20.100000000000001" customHeight="1" x14ac:dyDescent="0.2">
      <c r="A2" s="314"/>
      <c r="B2" s="315"/>
      <c r="C2" s="127" t="s">
        <v>1114</v>
      </c>
      <c r="D2" s="128" t="s">
        <v>1413</v>
      </c>
      <c r="E2" s="128" t="s">
        <v>1115</v>
      </c>
      <c r="F2" s="128" t="s">
        <v>1412</v>
      </c>
      <c r="G2" s="128" t="s">
        <v>99</v>
      </c>
      <c r="H2" s="128" t="s">
        <v>1116</v>
      </c>
      <c r="I2" s="129" t="s">
        <v>100</v>
      </c>
      <c r="J2" s="125"/>
    </row>
    <row r="3" spans="1:10" s="3" customFormat="1" ht="38.25" customHeight="1" x14ac:dyDescent="0.2">
      <c r="A3" s="523" t="s">
        <v>246</v>
      </c>
      <c r="B3" s="524"/>
      <c r="C3" s="524"/>
      <c r="D3" s="524"/>
      <c r="E3" s="524"/>
      <c r="F3" s="524"/>
      <c r="G3" s="524"/>
      <c r="H3" s="524"/>
      <c r="I3" s="524"/>
      <c r="J3" s="524"/>
    </row>
    <row r="4" spans="1:10" ht="26.1" customHeight="1" x14ac:dyDescent="0.2">
      <c r="A4" s="99" t="s">
        <v>1190</v>
      </c>
      <c r="B4" s="519" t="s">
        <v>1192</v>
      </c>
      <c r="C4" s="520"/>
      <c r="E4" s="99" t="s">
        <v>1190</v>
      </c>
      <c r="F4" s="519" t="s">
        <v>1192</v>
      </c>
      <c r="G4" s="520"/>
      <c r="I4" s="99" t="s">
        <v>1190</v>
      </c>
      <c r="J4" s="100" t="s">
        <v>1192</v>
      </c>
    </row>
    <row r="5" spans="1:10" ht="14.1" customHeight="1" x14ac:dyDescent="0.2">
      <c r="A5" s="101">
        <v>1</v>
      </c>
      <c r="B5" s="525" t="s">
        <v>1193</v>
      </c>
      <c r="C5" s="526"/>
      <c r="E5" s="101">
        <v>185</v>
      </c>
      <c r="F5" s="525" t="s">
        <v>1194</v>
      </c>
      <c r="G5" s="526"/>
      <c r="I5" s="101">
        <v>88</v>
      </c>
      <c r="J5" s="106" t="s">
        <v>1195</v>
      </c>
    </row>
    <row r="6" spans="1:10" ht="14.1" customHeight="1" x14ac:dyDescent="0.2">
      <c r="A6" s="102">
        <v>2</v>
      </c>
      <c r="B6" s="515" t="s">
        <v>1196</v>
      </c>
      <c r="C6" s="516"/>
      <c r="E6" s="102">
        <v>186</v>
      </c>
      <c r="F6" s="515" t="s">
        <v>1197</v>
      </c>
      <c r="G6" s="516"/>
      <c r="I6" s="102">
        <v>298</v>
      </c>
      <c r="J6" s="107" t="s">
        <v>1198</v>
      </c>
    </row>
    <row r="7" spans="1:10" ht="14.1" customHeight="1" x14ac:dyDescent="0.2">
      <c r="A7" s="102">
        <v>3</v>
      </c>
      <c r="B7" s="515" t="s">
        <v>1199</v>
      </c>
      <c r="C7" s="516"/>
      <c r="E7" s="102">
        <v>187</v>
      </c>
      <c r="F7" s="515" t="s">
        <v>1200</v>
      </c>
      <c r="G7" s="516"/>
      <c r="I7" s="102">
        <v>358</v>
      </c>
      <c r="J7" s="107" t="s">
        <v>1844</v>
      </c>
    </row>
    <row r="8" spans="1:10" ht="14.1" customHeight="1" x14ac:dyDescent="0.2">
      <c r="A8" s="102">
        <v>4</v>
      </c>
      <c r="B8" s="515" t="s">
        <v>1845</v>
      </c>
      <c r="C8" s="516"/>
      <c r="E8" s="102">
        <v>189</v>
      </c>
      <c r="F8" s="515" t="s">
        <v>1846</v>
      </c>
      <c r="G8" s="516"/>
      <c r="I8" s="102">
        <v>359</v>
      </c>
      <c r="J8" s="107" t="s">
        <v>1847</v>
      </c>
    </row>
    <row r="9" spans="1:10" ht="14.1" customHeight="1" x14ac:dyDescent="0.2">
      <c r="A9" s="102">
        <v>5</v>
      </c>
      <c r="B9" s="515" t="s">
        <v>1848</v>
      </c>
      <c r="C9" s="516"/>
      <c r="E9" s="102">
        <v>190</v>
      </c>
      <c r="F9" s="515" t="s">
        <v>1849</v>
      </c>
      <c r="G9" s="516"/>
      <c r="I9" s="102">
        <v>360</v>
      </c>
      <c r="J9" s="107" t="s">
        <v>1850</v>
      </c>
    </row>
    <row r="10" spans="1:10" ht="14.1" customHeight="1" x14ac:dyDescent="0.2">
      <c r="A10" s="102">
        <v>6</v>
      </c>
      <c r="B10" s="515" t="s">
        <v>1851</v>
      </c>
      <c r="C10" s="516"/>
      <c r="E10" s="102">
        <v>192</v>
      </c>
      <c r="F10" s="515" t="s">
        <v>1852</v>
      </c>
      <c r="G10" s="516"/>
      <c r="I10" s="102">
        <v>361</v>
      </c>
      <c r="J10" s="107" t="s">
        <v>1853</v>
      </c>
    </row>
    <row r="11" spans="1:10" ht="14.1" customHeight="1" x14ac:dyDescent="0.2">
      <c r="A11" s="102">
        <v>7</v>
      </c>
      <c r="B11" s="515" t="s">
        <v>1854</v>
      </c>
      <c r="C11" s="516"/>
      <c r="E11" s="102">
        <v>193</v>
      </c>
      <c r="F11" s="515" t="s">
        <v>1855</v>
      </c>
      <c r="G11" s="516"/>
      <c r="I11" s="102">
        <v>362</v>
      </c>
      <c r="J11" s="107" t="s">
        <v>1856</v>
      </c>
    </row>
    <row r="12" spans="1:10" ht="14.1" customHeight="1" x14ac:dyDescent="0.2">
      <c r="A12" s="102">
        <v>8</v>
      </c>
      <c r="B12" s="515" t="s">
        <v>1857</v>
      </c>
      <c r="C12" s="516"/>
      <c r="E12" s="102">
        <v>194</v>
      </c>
      <c r="F12" s="515" t="s">
        <v>1858</v>
      </c>
      <c r="G12" s="516"/>
      <c r="I12" s="102">
        <v>363</v>
      </c>
      <c r="J12" s="107" t="s">
        <v>1859</v>
      </c>
    </row>
    <row r="13" spans="1:10" ht="14.1" customHeight="1" x14ac:dyDescent="0.2">
      <c r="A13" s="102">
        <v>9</v>
      </c>
      <c r="B13" s="515" t="s">
        <v>1860</v>
      </c>
      <c r="C13" s="516"/>
      <c r="E13" s="102">
        <v>195</v>
      </c>
      <c r="F13" s="515" t="s">
        <v>1861</v>
      </c>
      <c r="G13" s="516"/>
      <c r="I13" s="102">
        <v>364</v>
      </c>
      <c r="J13" s="107" t="s">
        <v>1862</v>
      </c>
    </row>
    <row r="14" spans="1:10" ht="14.1" customHeight="1" x14ac:dyDescent="0.2">
      <c r="A14" s="102">
        <v>10</v>
      </c>
      <c r="B14" s="515" t="s">
        <v>1863</v>
      </c>
      <c r="C14" s="516"/>
      <c r="E14" s="102">
        <v>196</v>
      </c>
      <c r="F14" s="515" t="s">
        <v>1864</v>
      </c>
      <c r="G14" s="516"/>
      <c r="I14" s="102">
        <v>536</v>
      </c>
      <c r="J14" s="107" t="s">
        <v>1865</v>
      </c>
    </row>
    <row r="15" spans="1:10" ht="14.1" customHeight="1" x14ac:dyDescent="0.2">
      <c r="A15" s="102">
        <v>11</v>
      </c>
      <c r="B15" s="515" t="s">
        <v>1866</v>
      </c>
      <c r="C15" s="516"/>
      <c r="E15" s="102">
        <v>622</v>
      </c>
      <c r="F15" s="515" t="s">
        <v>1867</v>
      </c>
      <c r="G15" s="516"/>
      <c r="I15" s="102">
        <v>365</v>
      </c>
      <c r="J15" s="107" t="s">
        <v>1868</v>
      </c>
    </row>
    <row r="16" spans="1:10" ht="14.1" customHeight="1" x14ac:dyDescent="0.2">
      <c r="A16" s="102">
        <v>550</v>
      </c>
      <c r="B16" s="515" t="s">
        <v>1869</v>
      </c>
      <c r="C16" s="516"/>
      <c r="E16" s="102">
        <v>197</v>
      </c>
      <c r="F16" s="515" t="s">
        <v>1870</v>
      </c>
      <c r="G16" s="516"/>
      <c r="I16" s="102">
        <v>366</v>
      </c>
      <c r="J16" s="107" t="s">
        <v>1871</v>
      </c>
    </row>
    <row r="17" spans="1:10" ht="14.1" customHeight="1" x14ac:dyDescent="0.2">
      <c r="A17" s="102">
        <v>12</v>
      </c>
      <c r="B17" s="515" t="s">
        <v>1872</v>
      </c>
      <c r="C17" s="516"/>
      <c r="E17" s="102">
        <v>198</v>
      </c>
      <c r="F17" s="515" t="s">
        <v>1873</v>
      </c>
      <c r="G17" s="516"/>
      <c r="I17" s="102">
        <v>368</v>
      </c>
      <c r="J17" s="107" t="s">
        <v>1874</v>
      </c>
    </row>
    <row r="18" spans="1:10" ht="14.1" customHeight="1" x14ac:dyDescent="0.2">
      <c r="A18" s="102">
        <v>13</v>
      </c>
      <c r="B18" s="515" t="s">
        <v>622</v>
      </c>
      <c r="C18" s="516"/>
      <c r="E18" s="102">
        <v>199</v>
      </c>
      <c r="F18" s="515" t="s">
        <v>623</v>
      </c>
      <c r="G18" s="516"/>
      <c r="I18" s="102">
        <v>369</v>
      </c>
      <c r="J18" s="107" t="s">
        <v>624</v>
      </c>
    </row>
    <row r="19" spans="1:10" ht="14.1" customHeight="1" x14ac:dyDescent="0.2">
      <c r="A19" s="102">
        <v>15</v>
      </c>
      <c r="B19" s="515" t="s">
        <v>625</v>
      </c>
      <c r="C19" s="516"/>
      <c r="E19" s="102">
        <v>200</v>
      </c>
      <c r="F19" s="515" t="s">
        <v>2707</v>
      </c>
      <c r="G19" s="516"/>
      <c r="I19" s="102">
        <v>371</v>
      </c>
      <c r="J19" s="107" t="s">
        <v>2708</v>
      </c>
    </row>
    <row r="20" spans="1:10" ht="14.1" customHeight="1" x14ac:dyDescent="0.2">
      <c r="A20" s="102">
        <v>16</v>
      </c>
      <c r="B20" s="515" t="s">
        <v>2709</v>
      </c>
      <c r="C20" s="516"/>
      <c r="E20" s="102">
        <v>201</v>
      </c>
      <c r="F20" s="515" t="s">
        <v>2710</v>
      </c>
      <c r="G20" s="516"/>
      <c r="I20" s="102">
        <v>372</v>
      </c>
      <c r="J20" s="107" t="s">
        <v>2711</v>
      </c>
    </row>
    <row r="21" spans="1:10" ht="14.1" customHeight="1" x14ac:dyDescent="0.2">
      <c r="A21" s="102">
        <v>17</v>
      </c>
      <c r="B21" s="515" t="s">
        <v>2712</v>
      </c>
      <c r="C21" s="516"/>
      <c r="E21" s="102">
        <v>202</v>
      </c>
      <c r="F21" s="515" t="s">
        <v>2713</v>
      </c>
      <c r="G21" s="516"/>
      <c r="I21" s="102">
        <v>556</v>
      </c>
      <c r="J21" s="107" t="s">
        <v>2714</v>
      </c>
    </row>
    <row r="22" spans="1:10" ht="14.1" customHeight="1" x14ac:dyDescent="0.2">
      <c r="A22" s="102">
        <v>18</v>
      </c>
      <c r="B22" s="515" t="s">
        <v>2715</v>
      </c>
      <c r="C22" s="516"/>
      <c r="E22" s="102">
        <v>203</v>
      </c>
      <c r="F22" s="515" t="s">
        <v>2716</v>
      </c>
      <c r="G22" s="516"/>
      <c r="I22" s="102">
        <v>373</v>
      </c>
      <c r="J22" s="107" t="s">
        <v>2717</v>
      </c>
    </row>
    <row r="23" spans="1:10" ht="14.1" customHeight="1" x14ac:dyDescent="0.2">
      <c r="A23" s="102">
        <v>19</v>
      </c>
      <c r="B23" s="515" t="s">
        <v>2718</v>
      </c>
      <c r="C23" s="516"/>
      <c r="E23" s="102">
        <v>204</v>
      </c>
      <c r="F23" s="515" t="s">
        <v>2719</v>
      </c>
      <c r="G23" s="516"/>
      <c r="I23" s="102">
        <v>582</v>
      </c>
      <c r="J23" s="107" t="s">
        <v>2720</v>
      </c>
    </row>
    <row r="24" spans="1:10" ht="14.1" customHeight="1" x14ac:dyDescent="0.2">
      <c r="A24" s="102">
        <v>20</v>
      </c>
      <c r="B24" s="515" t="s">
        <v>2721</v>
      </c>
      <c r="C24" s="516"/>
      <c r="E24" s="102">
        <v>538</v>
      </c>
      <c r="F24" s="515" t="s">
        <v>2722</v>
      </c>
      <c r="G24" s="516"/>
      <c r="I24" s="102">
        <v>374</v>
      </c>
      <c r="J24" s="107" t="s">
        <v>2723</v>
      </c>
    </row>
    <row r="25" spans="1:10" ht="14.1" customHeight="1" x14ac:dyDescent="0.2">
      <c r="A25" s="102">
        <v>621</v>
      </c>
      <c r="B25" s="515" t="s">
        <v>2724</v>
      </c>
      <c r="C25" s="516"/>
      <c r="E25" s="102">
        <v>205</v>
      </c>
      <c r="F25" s="515" t="s">
        <v>2725</v>
      </c>
      <c r="G25" s="516"/>
      <c r="I25" s="102">
        <v>375</v>
      </c>
      <c r="J25" s="107" t="s">
        <v>2726</v>
      </c>
    </row>
    <row r="26" spans="1:10" ht="14.1" customHeight="1" x14ac:dyDescent="0.2">
      <c r="A26" s="102">
        <v>21</v>
      </c>
      <c r="B26" s="515" t="s">
        <v>2727</v>
      </c>
      <c r="C26" s="516"/>
      <c r="E26" s="102">
        <v>206</v>
      </c>
      <c r="F26" s="515" t="s">
        <v>2728</v>
      </c>
      <c r="G26" s="516"/>
      <c r="I26" s="102">
        <v>376</v>
      </c>
      <c r="J26" s="107" t="s">
        <v>2729</v>
      </c>
    </row>
    <row r="27" spans="1:10" ht="14.1" customHeight="1" x14ac:dyDescent="0.2">
      <c r="A27" s="102">
        <v>22</v>
      </c>
      <c r="B27" s="515" t="s">
        <v>2730</v>
      </c>
      <c r="C27" s="516"/>
      <c r="E27" s="102">
        <v>208</v>
      </c>
      <c r="F27" s="515" t="s">
        <v>2731</v>
      </c>
      <c r="G27" s="516"/>
      <c r="I27" s="102">
        <v>591</v>
      </c>
      <c r="J27" s="107" t="s">
        <v>2732</v>
      </c>
    </row>
    <row r="28" spans="1:10" ht="14.1" customHeight="1" x14ac:dyDescent="0.2">
      <c r="A28" s="102">
        <v>310</v>
      </c>
      <c r="B28" s="515" t="s">
        <v>2733</v>
      </c>
      <c r="C28" s="516"/>
      <c r="E28" s="102">
        <v>209</v>
      </c>
      <c r="F28" s="515" t="s">
        <v>2734</v>
      </c>
      <c r="G28" s="516"/>
      <c r="I28" s="102">
        <v>377</v>
      </c>
      <c r="J28" s="107" t="s">
        <v>2735</v>
      </c>
    </row>
    <row r="29" spans="1:10" ht="14.1" customHeight="1" x14ac:dyDescent="0.2">
      <c r="A29" s="102">
        <v>547</v>
      </c>
      <c r="B29" s="515" t="s">
        <v>2736</v>
      </c>
      <c r="C29" s="516"/>
      <c r="E29" s="102">
        <v>211</v>
      </c>
      <c r="F29" s="515" t="s">
        <v>2737</v>
      </c>
      <c r="G29" s="516"/>
      <c r="I29" s="102">
        <v>378</v>
      </c>
      <c r="J29" s="107" t="s">
        <v>2738</v>
      </c>
    </row>
    <row r="30" spans="1:10" ht="14.1" customHeight="1" x14ac:dyDescent="0.2">
      <c r="A30" s="102">
        <v>23</v>
      </c>
      <c r="B30" s="515" t="s">
        <v>2739</v>
      </c>
      <c r="C30" s="516"/>
      <c r="E30" s="102">
        <v>212</v>
      </c>
      <c r="F30" s="515" t="s">
        <v>2740</v>
      </c>
      <c r="G30" s="516"/>
      <c r="I30" s="102">
        <v>379</v>
      </c>
      <c r="J30" s="107" t="s">
        <v>2741</v>
      </c>
    </row>
    <row r="31" spans="1:10" ht="14.1" customHeight="1" x14ac:dyDescent="0.2">
      <c r="A31" s="102">
        <v>24</v>
      </c>
      <c r="B31" s="515" t="s">
        <v>2742</v>
      </c>
      <c r="C31" s="516"/>
      <c r="E31" s="102">
        <v>533</v>
      </c>
      <c r="F31" s="515" t="s">
        <v>1606</v>
      </c>
      <c r="G31" s="516"/>
      <c r="I31" s="102">
        <v>380</v>
      </c>
      <c r="J31" s="107" t="s">
        <v>1607</v>
      </c>
    </row>
    <row r="32" spans="1:10" ht="14.1" customHeight="1" x14ac:dyDescent="0.2">
      <c r="A32" s="102">
        <v>25</v>
      </c>
      <c r="B32" s="515" t="s">
        <v>1608</v>
      </c>
      <c r="C32" s="516"/>
      <c r="E32" s="102">
        <v>545</v>
      </c>
      <c r="F32" s="515" t="s">
        <v>1609</v>
      </c>
      <c r="G32" s="516"/>
      <c r="I32" s="102">
        <v>381</v>
      </c>
      <c r="J32" s="107" t="s">
        <v>1610</v>
      </c>
    </row>
    <row r="33" spans="1:10" ht="14.1" customHeight="1" x14ac:dyDescent="0.2">
      <c r="A33" s="102">
        <v>26</v>
      </c>
      <c r="B33" s="515" t="s">
        <v>1611</v>
      </c>
      <c r="C33" s="516"/>
      <c r="E33" s="102">
        <v>213</v>
      </c>
      <c r="F33" s="515" t="s">
        <v>1612</v>
      </c>
      <c r="G33" s="516"/>
      <c r="I33" s="102">
        <v>382</v>
      </c>
      <c r="J33" s="107" t="s">
        <v>1613</v>
      </c>
    </row>
    <row r="34" spans="1:10" ht="14.1" customHeight="1" x14ac:dyDescent="0.2">
      <c r="A34" s="102">
        <v>27</v>
      </c>
      <c r="B34" s="515" t="s">
        <v>1614</v>
      </c>
      <c r="C34" s="516"/>
      <c r="E34" s="102">
        <v>214</v>
      </c>
      <c r="F34" s="515" t="s">
        <v>1615</v>
      </c>
      <c r="G34" s="516"/>
      <c r="I34" s="102">
        <v>383</v>
      </c>
      <c r="J34" s="107" t="s">
        <v>1616</v>
      </c>
    </row>
    <row r="35" spans="1:10" ht="14.1" customHeight="1" x14ac:dyDescent="0.2">
      <c r="A35" s="102">
        <v>29</v>
      </c>
      <c r="B35" s="515" t="s">
        <v>1617</v>
      </c>
      <c r="C35" s="516"/>
      <c r="E35" s="102">
        <v>215</v>
      </c>
      <c r="F35" s="515" t="s">
        <v>1618</v>
      </c>
      <c r="G35" s="516"/>
      <c r="I35" s="102">
        <v>385</v>
      </c>
      <c r="J35" s="107" t="s">
        <v>1619</v>
      </c>
    </row>
    <row r="36" spans="1:10" ht="14.1" customHeight="1" x14ac:dyDescent="0.2">
      <c r="A36" s="102">
        <v>30</v>
      </c>
      <c r="B36" s="515" t="s">
        <v>1620</v>
      </c>
      <c r="C36" s="516"/>
      <c r="E36" s="102">
        <v>216</v>
      </c>
      <c r="F36" s="515" t="s">
        <v>1621</v>
      </c>
      <c r="G36" s="516"/>
      <c r="I36" s="102">
        <v>386</v>
      </c>
      <c r="J36" s="107" t="s">
        <v>1622</v>
      </c>
    </row>
    <row r="37" spans="1:10" ht="14.1" customHeight="1" x14ac:dyDescent="0.2">
      <c r="A37" s="102">
        <v>32</v>
      </c>
      <c r="B37" s="515" t="s">
        <v>1623</v>
      </c>
      <c r="C37" s="516"/>
      <c r="E37" s="102">
        <v>217</v>
      </c>
      <c r="F37" s="515" t="s">
        <v>1624</v>
      </c>
      <c r="G37" s="516"/>
      <c r="I37" s="102">
        <v>387</v>
      </c>
      <c r="J37" s="107" t="s">
        <v>1625</v>
      </c>
    </row>
    <row r="38" spans="1:10" ht="14.1" customHeight="1" x14ac:dyDescent="0.2">
      <c r="A38" s="102">
        <v>33</v>
      </c>
      <c r="B38" s="515" t="s">
        <v>1626</v>
      </c>
      <c r="C38" s="516"/>
      <c r="E38" s="102">
        <v>572</v>
      </c>
      <c r="F38" s="515" t="s">
        <v>1627</v>
      </c>
      <c r="G38" s="516"/>
      <c r="I38" s="102">
        <v>562</v>
      </c>
      <c r="J38" s="107" t="s">
        <v>1628</v>
      </c>
    </row>
    <row r="39" spans="1:10" ht="14.1" customHeight="1" x14ac:dyDescent="0.2">
      <c r="A39" s="102">
        <v>34</v>
      </c>
      <c r="B39" s="515" t="s">
        <v>1629</v>
      </c>
      <c r="C39" s="516"/>
      <c r="E39" s="102">
        <v>219</v>
      </c>
      <c r="F39" s="515" t="s">
        <v>1630</v>
      </c>
      <c r="G39" s="516"/>
      <c r="I39" s="102">
        <v>388</v>
      </c>
      <c r="J39" s="107" t="s">
        <v>1631</v>
      </c>
    </row>
    <row r="40" spans="1:10" ht="14.1" customHeight="1" x14ac:dyDescent="0.2">
      <c r="A40" s="102">
        <v>77</v>
      </c>
      <c r="B40" s="515" t="s">
        <v>1632</v>
      </c>
      <c r="C40" s="516"/>
      <c r="E40" s="102">
        <v>553</v>
      </c>
      <c r="F40" s="515" t="s">
        <v>1633</v>
      </c>
      <c r="G40" s="516"/>
      <c r="I40" s="102">
        <v>570</v>
      </c>
      <c r="J40" s="107" t="s">
        <v>1634</v>
      </c>
    </row>
    <row r="41" spans="1:10" ht="14.1" customHeight="1" x14ac:dyDescent="0.2">
      <c r="A41" s="102">
        <v>35</v>
      </c>
      <c r="B41" s="515" t="s">
        <v>1635</v>
      </c>
      <c r="C41" s="516"/>
      <c r="E41" s="102">
        <v>220</v>
      </c>
      <c r="F41" s="515" t="s">
        <v>1636</v>
      </c>
      <c r="G41" s="516"/>
      <c r="I41" s="102">
        <v>389</v>
      </c>
      <c r="J41" s="107" t="s">
        <v>1637</v>
      </c>
    </row>
    <row r="42" spans="1:10" ht="14.1" customHeight="1" x14ac:dyDescent="0.2">
      <c r="A42" s="102">
        <v>36</v>
      </c>
      <c r="B42" s="515" t="s">
        <v>1638</v>
      </c>
      <c r="C42" s="516"/>
      <c r="E42" s="102">
        <v>221</v>
      </c>
      <c r="F42" s="515" t="s">
        <v>1639</v>
      </c>
      <c r="G42" s="516"/>
      <c r="I42" s="102">
        <v>390</v>
      </c>
      <c r="J42" s="107" t="s">
        <v>1640</v>
      </c>
    </row>
    <row r="43" spans="1:10" ht="14.1" customHeight="1" x14ac:dyDescent="0.2">
      <c r="A43" s="102">
        <v>151</v>
      </c>
      <c r="B43" s="515" t="s">
        <v>1641</v>
      </c>
      <c r="C43" s="516"/>
      <c r="E43" s="102">
        <v>222</v>
      </c>
      <c r="F43" s="515" t="s">
        <v>1642</v>
      </c>
      <c r="G43" s="516"/>
      <c r="I43" s="102">
        <v>391</v>
      </c>
      <c r="J43" s="107" t="s">
        <v>1643</v>
      </c>
    </row>
    <row r="44" spans="1:10" ht="14.1" customHeight="1" x14ac:dyDescent="0.2">
      <c r="A44" s="102">
        <v>37</v>
      </c>
      <c r="B44" s="515" t="s">
        <v>1644</v>
      </c>
      <c r="C44" s="516"/>
      <c r="E44" s="102">
        <v>223</v>
      </c>
      <c r="F44" s="515" t="s">
        <v>1645</v>
      </c>
      <c r="G44" s="516"/>
      <c r="I44" s="102">
        <v>393</v>
      </c>
      <c r="J44" s="107" t="s">
        <v>1646</v>
      </c>
    </row>
    <row r="45" spans="1:10" ht="14.1" customHeight="1" x14ac:dyDescent="0.2">
      <c r="A45" s="102">
        <v>38</v>
      </c>
      <c r="B45" s="515" t="s">
        <v>1647</v>
      </c>
      <c r="C45" s="516"/>
      <c r="E45" s="102">
        <v>225</v>
      </c>
      <c r="F45" s="515" t="s">
        <v>1648</v>
      </c>
      <c r="G45" s="516"/>
      <c r="I45" s="102">
        <v>394</v>
      </c>
      <c r="J45" s="107" t="s">
        <v>1649</v>
      </c>
    </row>
    <row r="46" spans="1:10" ht="14.1" customHeight="1" x14ac:dyDescent="0.2">
      <c r="A46" s="102">
        <v>39</v>
      </c>
      <c r="B46" s="515" t="s">
        <v>1650</v>
      </c>
      <c r="C46" s="516"/>
      <c r="E46" s="102">
        <v>226</v>
      </c>
      <c r="F46" s="515" t="s">
        <v>1651</v>
      </c>
      <c r="G46" s="516"/>
      <c r="I46" s="102">
        <v>395</v>
      </c>
      <c r="J46" s="107" t="s">
        <v>1652</v>
      </c>
    </row>
    <row r="47" spans="1:10" ht="14.1" customHeight="1" x14ac:dyDescent="0.2">
      <c r="A47" s="102">
        <v>40</v>
      </c>
      <c r="B47" s="515" t="s">
        <v>1653</v>
      </c>
      <c r="C47" s="516"/>
      <c r="E47" s="102">
        <v>586</v>
      </c>
      <c r="F47" s="515" t="s">
        <v>1484</v>
      </c>
      <c r="G47" s="516"/>
      <c r="I47" s="102">
        <v>396</v>
      </c>
      <c r="J47" s="107" t="s">
        <v>1485</v>
      </c>
    </row>
    <row r="48" spans="1:10" ht="14.1" customHeight="1" x14ac:dyDescent="0.2">
      <c r="A48" s="102">
        <v>41</v>
      </c>
      <c r="B48" s="515" t="s">
        <v>1486</v>
      </c>
      <c r="C48" s="516"/>
      <c r="E48" s="102">
        <v>227</v>
      </c>
      <c r="F48" s="515" t="s">
        <v>1487</v>
      </c>
      <c r="G48" s="516"/>
      <c r="I48" s="102">
        <v>397</v>
      </c>
      <c r="J48" s="107" t="s">
        <v>1488</v>
      </c>
    </row>
    <row r="49" spans="1:10" ht="14.1" customHeight="1" x14ac:dyDescent="0.2">
      <c r="A49" s="102">
        <v>42</v>
      </c>
      <c r="B49" s="515" t="s">
        <v>1489</v>
      </c>
      <c r="C49" s="516"/>
      <c r="E49" s="102">
        <v>228</v>
      </c>
      <c r="F49" s="515" t="s">
        <v>1490</v>
      </c>
      <c r="G49" s="516"/>
      <c r="I49" s="102">
        <v>399</v>
      </c>
      <c r="J49" s="107" t="s">
        <v>1491</v>
      </c>
    </row>
    <row r="50" spans="1:10" ht="14.1" customHeight="1" x14ac:dyDescent="0.2">
      <c r="A50" s="102">
        <v>567</v>
      </c>
      <c r="B50" s="515" t="s">
        <v>1492</v>
      </c>
      <c r="C50" s="516"/>
      <c r="E50" s="102">
        <v>229</v>
      </c>
      <c r="F50" s="515" t="s">
        <v>1493</v>
      </c>
      <c r="G50" s="516"/>
      <c r="I50" s="102">
        <v>400</v>
      </c>
      <c r="J50" s="107" t="s">
        <v>1494</v>
      </c>
    </row>
    <row r="51" spans="1:10" ht="14.1" customHeight="1" x14ac:dyDescent="0.2">
      <c r="A51" s="102">
        <v>43</v>
      </c>
      <c r="B51" s="515" t="s">
        <v>1495</v>
      </c>
      <c r="C51" s="516"/>
      <c r="E51" s="102">
        <v>230</v>
      </c>
      <c r="F51" s="515" t="s">
        <v>1496</v>
      </c>
      <c r="G51" s="516"/>
      <c r="I51" s="102">
        <v>402</v>
      </c>
      <c r="J51" s="107" t="s">
        <v>1497</v>
      </c>
    </row>
    <row r="52" spans="1:10" ht="14.1" customHeight="1" x14ac:dyDescent="0.2">
      <c r="A52" s="102">
        <v>44</v>
      </c>
      <c r="B52" s="515" t="s">
        <v>1498</v>
      </c>
      <c r="C52" s="516"/>
      <c r="E52" s="102">
        <v>231</v>
      </c>
      <c r="F52" s="515" t="s">
        <v>1499</v>
      </c>
      <c r="G52" s="516"/>
      <c r="I52" s="102">
        <v>405</v>
      </c>
      <c r="J52" s="107" t="s">
        <v>1927</v>
      </c>
    </row>
    <row r="53" spans="1:10" ht="14.1" customHeight="1" x14ac:dyDescent="0.2">
      <c r="A53" s="102">
        <v>46</v>
      </c>
      <c r="B53" s="515" t="s">
        <v>1928</v>
      </c>
      <c r="C53" s="516"/>
      <c r="E53" s="102">
        <v>232</v>
      </c>
      <c r="F53" s="515" t="s">
        <v>1929</v>
      </c>
      <c r="G53" s="516"/>
      <c r="I53" s="102">
        <v>406</v>
      </c>
      <c r="J53" s="107" t="s">
        <v>1930</v>
      </c>
    </row>
    <row r="54" spans="1:10" ht="14.1" customHeight="1" x14ac:dyDescent="0.2">
      <c r="A54" s="102">
        <v>47</v>
      </c>
      <c r="B54" s="515" t="s">
        <v>1931</v>
      </c>
      <c r="C54" s="516"/>
      <c r="E54" s="102">
        <v>234</v>
      </c>
      <c r="F54" s="515" t="s">
        <v>1932</v>
      </c>
      <c r="G54" s="516"/>
      <c r="I54" s="102">
        <v>407</v>
      </c>
      <c r="J54" s="107" t="s">
        <v>1933</v>
      </c>
    </row>
    <row r="55" spans="1:10" ht="14.1" customHeight="1" x14ac:dyDescent="0.2">
      <c r="A55" s="102">
        <v>48</v>
      </c>
      <c r="B55" s="515" t="s">
        <v>1934</v>
      </c>
      <c r="C55" s="516"/>
      <c r="E55" s="102">
        <v>235</v>
      </c>
      <c r="F55" s="515" t="s">
        <v>1935</v>
      </c>
      <c r="G55" s="516"/>
      <c r="I55" s="102">
        <v>409</v>
      </c>
      <c r="J55" s="107" t="s">
        <v>1936</v>
      </c>
    </row>
    <row r="56" spans="1:10" ht="14.1" customHeight="1" x14ac:dyDescent="0.2">
      <c r="A56" s="102">
        <v>49</v>
      </c>
      <c r="B56" s="515" t="s">
        <v>1937</v>
      </c>
      <c r="C56" s="516"/>
      <c r="E56" s="102">
        <v>236</v>
      </c>
      <c r="F56" s="515" t="s">
        <v>1938</v>
      </c>
      <c r="G56" s="516"/>
      <c r="I56" s="102">
        <v>410</v>
      </c>
      <c r="J56" s="107" t="s">
        <v>1939</v>
      </c>
    </row>
    <row r="57" spans="1:10" ht="14.1" customHeight="1" x14ac:dyDescent="0.2">
      <c r="A57" s="102">
        <v>50</v>
      </c>
      <c r="B57" s="515" t="s">
        <v>1940</v>
      </c>
      <c r="C57" s="516"/>
      <c r="E57" s="102">
        <v>237</v>
      </c>
      <c r="F57" s="515" t="s">
        <v>1941</v>
      </c>
      <c r="G57" s="516"/>
      <c r="I57" s="102">
        <v>411</v>
      </c>
      <c r="J57" s="107" t="s">
        <v>1942</v>
      </c>
    </row>
    <row r="58" spans="1:10" ht="14.1" customHeight="1" x14ac:dyDescent="0.2">
      <c r="A58" s="102">
        <v>51</v>
      </c>
      <c r="B58" s="515" t="s">
        <v>1943</v>
      </c>
      <c r="C58" s="516"/>
      <c r="E58" s="102">
        <v>587</v>
      </c>
      <c r="F58" s="515" t="s">
        <v>1944</v>
      </c>
      <c r="G58" s="516"/>
      <c r="I58" s="102">
        <v>412</v>
      </c>
      <c r="J58" s="107" t="s">
        <v>1945</v>
      </c>
    </row>
    <row r="59" spans="1:10" ht="14.1" customHeight="1" x14ac:dyDescent="0.2">
      <c r="A59" s="102">
        <v>52</v>
      </c>
      <c r="B59" s="515" t="s">
        <v>1946</v>
      </c>
      <c r="C59" s="516"/>
      <c r="E59" s="102">
        <v>624</v>
      </c>
      <c r="F59" s="515" t="s">
        <v>1947</v>
      </c>
      <c r="G59" s="516"/>
      <c r="I59" s="102">
        <v>413</v>
      </c>
      <c r="J59" s="107" t="s">
        <v>1948</v>
      </c>
    </row>
    <row r="60" spans="1:10" ht="14.1" customHeight="1" x14ac:dyDescent="0.2">
      <c r="A60" s="102">
        <v>53</v>
      </c>
      <c r="B60" s="515" t="s">
        <v>1949</v>
      </c>
      <c r="C60" s="516"/>
      <c r="E60" s="102">
        <v>239</v>
      </c>
      <c r="F60" s="515" t="s">
        <v>1950</v>
      </c>
      <c r="G60" s="516"/>
      <c r="I60" s="102">
        <v>414</v>
      </c>
      <c r="J60" s="107" t="s">
        <v>1951</v>
      </c>
    </row>
    <row r="61" spans="1:10" ht="14.1" customHeight="1" x14ac:dyDescent="0.2">
      <c r="A61" s="102">
        <v>54</v>
      </c>
      <c r="B61" s="515" t="s">
        <v>1952</v>
      </c>
      <c r="C61" s="516"/>
      <c r="E61" s="102">
        <v>240</v>
      </c>
      <c r="F61" s="515" t="s">
        <v>1953</v>
      </c>
      <c r="G61" s="516"/>
      <c r="I61" s="102">
        <v>415</v>
      </c>
      <c r="J61" s="107" t="s">
        <v>1954</v>
      </c>
    </row>
    <row r="62" spans="1:10" ht="14.1" customHeight="1" x14ac:dyDescent="0.2">
      <c r="A62" s="102">
        <v>55</v>
      </c>
      <c r="B62" s="515" t="s">
        <v>1955</v>
      </c>
      <c r="C62" s="516"/>
      <c r="E62" s="102">
        <v>242</v>
      </c>
      <c r="F62" s="515" t="s">
        <v>1956</v>
      </c>
      <c r="G62" s="516"/>
      <c r="I62" s="102">
        <v>416</v>
      </c>
      <c r="J62" s="107" t="s">
        <v>1957</v>
      </c>
    </row>
    <row r="63" spans="1:10" ht="14.1" customHeight="1" x14ac:dyDescent="0.2">
      <c r="A63" s="102">
        <v>56</v>
      </c>
      <c r="B63" s="515" t="s">
        <v>1958</v>
      </c>
      <c r="C63" s="516"/>
      <c r="E63" s="102">
        <v>243</v>
      </c>
      <c r="F63" s="515" t="s">
        <v>1959</v>
      </c>
      <c r="G63" s="516"/>
      <c r="I63" s="102">
        <v>418</v>
      </c>
      <c r="J63" s="107" t="s">
        <v>1960</v>
      </c>
    </row>
    <row r="64" spans="1:10" ht="14.1" customHeight="1" x14ac:dyDescent="0.2">
      <c r="A64" s="102">
        <v>57</v>
      </c>
      <c r="B64" s="515" t="s">
        <v>1961</v>
      </c>
      <c r="C64" s="516"/>
      <c r="E64" s="102">
        <v>244</v>
      </c>
      <c r="F64" s="515" t="s">
        <v>1962</v>
      </c>
      <c r="G64" s="516"/>
      <c r="I64" s="102">
        <v>419</v>
      </c>
      <c r="J64" s="107" t="s">
        <v>1963</v>
      </c>
    </row>
    <row r="65" spans="1:10" ht="14.1" customHeight="1" x14ac:dyDescent="0.2">
      <c r="A65" s="102">
        <v>58</v>
      </c>
      <c r="B65" s="515" t="s">
        <v>1964</v>
      </c>
      <c r="C65" s="516"/>
      <c r="E65" s="102">
        <v>548</v>
      </c>
      <c r="F65" s="515" t="s">
        <v>1965</v>
      </c>
      <c r="G65" s="516"/>
      <c r="I65" s="102">
        <v>606</v>
      </c>
      <c r="J65" s="107" t="s">
        <v>1966</v>
      </c>
    </row>
    <row r="66" spans="1:10" ht="14.1" customHeight="1" x14ac:dyDescent="0.2">
      <c r="A66" s="102">
        <v>60</v>
      </c>
      <c r="B66" s="515" t="s">
        <v>1967</v>
      </c>
      <c r="C66" s="516"/>
      <c r="E66" s="102">
        <v>245</v>
      </c>
      <c r="F66" s="515" t="s">
        <v>1968</v>
      </c>
      <c r="G66" s="516"/>
      <c r="I66" s="102">
        <v>421</v>
      </c>
      <c r="J66" s="107" t="s">
        <v>1969</v>
      </c>
    </row>
    <row r="67" spans="1:10" ht="14.1" customHeight="1" x14ac:dyDescent="0.2">
      <c r="A67" s="102">
        <v>61</v>
      </c>
      <c r="B67" s="515" t="s">
        <v>1970</v>
      </c>
      <c r="C67" s="516"/>
      <c r="E67" s="102">
        <v>600</v>
      </c>
      <c r="F67" s="515" t="s">
        <v>1971</v>
      </c>
      <c r="G67" s="516"/>
      <c r="I67" s="102">
        <v>422</v>
      </c>
      <c r="J67" s="107" t="s">
        <v>1972</v>
      </c>
    </row>
    <row r="68" spans="1:10" ht="14.1" customHeight="1" x14ac:dyDescent="0.2">
      <c r="A68" s="102">
        <v>63</v>
      </c>
      <c r="B68" s="515" t="s">
        <v>1973</v>
      </c>
      <c r="C68" s="516"/>
      <c r="E68" s="102">
        <v>246</v>
      </c>
      <c r="F68" s="515" t="s">
        <v>1974</v>
      </c>
      <c r="G68" s="516"/>
      <c r="I68" s="102">
        <v>551</v>
      </c>
      <c r="J68" s="107" t="s">
        <v>1975</v>
      </c>
    </row>
    <row r="69" spans="1:10" ht="14.1" customHeight="1" x14ac:dyDescent="0.2">
      <c r="A69" s="102">
        <v>64</v>
      </c>
      <c r="B69" s="515" t="s">
        <v>1976</v>
      </c>
      <c r="C69" s="516"/>
      <c r="E69" s="102">
        <v>247</v>
      </c>
      <c r="F69" s="515" t="s">
        <v>1977</v>
      </c>
      <c r="G69" s="516"/>
      <c r="I69" s="102">
        <v>423</v>
      </c>
      <c r="J69" s="107" t="s">
        <v>1978</v>
      </c>
    </row>
    <row r="70" spans="1:10" ht="14.1" customHeight="1" x14ac:dyDescent="0.2">
      <c r="A70" s="102">
        <v>65</v>
      </c>
      <c r="B70" s="515" t="s">
        <v>1979</v>
      </c>
      <c r="C70" s="516"/>
      <c r="E70" s="102">
        <v>248</v>
      </c>
      <c r="F70" s="515" t="s">
        <v>1980</v>
      </c>
      <c r="G70" s="516"/>
      <c r="I70" s="102">
        <v>424</v>
      </c>
      <c r="J70" s="107" t="s">
        <v>1981</v>
      </c>
    </row>
    <row r="71" spans="1:10" ht="14.1" customHeight="1" x14ac:dyDescent="0.2">
      <c r="A71" s="102">
        <v>66</v>
      </c>
      <c r="B71" s="515" t="s">
        <v>1982</v>
      </c>
      <c r="C71" s="516"/>
      <c r="E71" s="102">
        <v>578</v>
      </c>
      <c r="F71" s="515" t="s">
        <v>1983</v>
      </c>
      <c r="G71" s="516"/>
      <c r="I71" s="102">
        <v>425</v>
      </c>
      <c r="J71" s="107" t="s">
        <v>1984</v>
      </c>
    </row>
    <row r="72" spans="1:10" ht="14.1" customHeight="1" x14ac:dyDescent="0.2">
      <c r="A72" s="102">
        <v>67</v>
      </c>
      <c r="B72" s="515" t="s">
        <v>1985</v>
      </c>
      <c r="C72" s="516"/>
      <c r="E72" s="102">
        <v>555</v>
      </c>
      <c r="F72" s="515" t="s">
        <v>1986</v>
      </c>
      <c r="G72" s="516"/>
      <c r="I72" s="102">
        <v>426</v>
      </c>
      <c r="J72" s="107" t="s">
        <v>1987</v>
      </c>
    </row>
    <row r="73" spans="1:10" ht="14.1" customHeight="1" x14ac:dyDescent="0.2">
      <c r="A73" s="102">
        <v>68</v>
      </c>
      <c r="B73" s="515" t="s">
        <v>1988</v>
      </c>
      <c r="C73" s="516"/>
      <c r="E73" s="102">
        <v>249</v>
      </c>
      <c r="F73" s="515" t="s">
        <v>1989</v>
      </c>
      <c r="G73" s="516"/>
      <c r="I73" s="102">
        <v>427</v>
      </c>
      <c r="J73" s="107" t="s">
        <v>1990</v>
      </c>
    </row>
    <row r="74" spans="1:10" ht="14.1" customHeight="1" x14ac:dyDescent="0.2">
      <c r="A74" s="102">
        <v>603</v>
      </c>
      <c r="B74" s="515" t="s">
        <v>1991</v>
      </c>
      <c r="C74" s="516"/>
      <c r="E74" s="102">
        <v>250</v>
      </c>
      <c r="F74" s="515" t="s">
        <v>1992</v>
      </c>
      <c r="G74" s="516"/>
      <c r="I74" s="102">
        <v>592</v>
      </c>
      <c r="J74" s="107" t="s">
        <v>1993</v>
      </c>
    </row>
    <row r="75" spans="1:10" ht="14.1" customHeight="1" x14ac:dyDescent="0.2">
      <c r="A75" s="102">
        <v>69</v>
      </c>
      <c r="B75" s="515" t="s">
        <v>1994</v>
      </c>
      <c r="C75" s="516"/>
      <c r="E75" s="102">
        <v>251</v>
      </c>
      <c r="F75" s="515" t="s">
        <v>1995</v>
      </c>
      <c r="G75" s="516"/>
      <c r="I75" s="102">
        <v>607</v>
      </c>
      <c r="J75" s="107" t="s">
        <v>1996</v>
      </c>
    </row>
    <row r="76" spans="1:10" ht="14.1" customHeight="1" x14ac:dyDescent="0.2">
      <c r="A76" s="102">
        <v>70</v>
      </c>
      <c r="B76" s="515" t="s">
        <v>1997</v>
      </c>
      <c r="C76" s="516"/>
      <c r="E76" s="102">
        <v>252</v>
      </c>
      <c r="F76" s="515" t="s">
        <v>1998</v>
      </c>
      <c r="G76" s="516"/>
      <c r="I76" s="102">
        <v>432</v>
      </c>
      <c r="J76" s="107" t="s">
        <v>1999</v>
      </c>
    </row>
    <row r="77" spans="1:10" ht="14.1" customHeight="1" x14ac:dyDescent="0.2">
      <c r="A77" s="102">
        <v>71</v>
      </c>
      <c r="B77" s="515" t="s">
        <v>2000</v>
      </c>
      <c r="C77" s="516"/>
      <c r="E77" s="102">
        <v>253</v>
      </c>
      <c r="F77" s="515" t="s">
        <v>2001</v>
      </c>
      <c r="G77" s="516"/>
      <c r="I77" s="102">
        <v>436</v>
      </c>
      <c r="J77" s="107" t="s">
        <v>1999</v>
      </c>
    </row>
    <row r="78" spans="1:10" ht="14.1" customHeight="1" x14ac:dyDescent="0.2">
      <c r="A78" s="102">
        <v>72</v>
      </c>
      <c r="B78" s="515" t="s">
        <v>2003</v>
      </c>
      <c r="C78" s="516"/>
      <c r="E78" s="102">
        <v>254</v>
      </c>
      <c r="F78" s="515" t="s">
        <v>2004</v>
      </c>
      <c r="G78" s="516"/>
      <c r="I78" s="102">
        <v>437</v>
      </c>
      <c r="J78" s="107" t="s">
        <v>2005</v>
      </c>
    </row>
    <row r="79" spans="1:10" ht="14.1" customHeight="1" x14ac:dyDescent="0.2">
      <c r="A79" s="102">
        <v>74</v>
      </c>
      <c r="B79" s="515" t="s">
        <v>2006</v>
      </c>
      <c r="C79" s="516"/>
      <c r="E79" s="102">
        <v>256</v>
      </c>
      <c r="F79" s="515" t="s">
        <v>2007</v>
      </c>
      <c r="G79" s="516"/>
      <c r="I79" s="102">
        <v>428</v>
      </c>
      <c r="J79" s="107" t="s">
        <v>2008</v>
      </c>
    </row>
    <row r="80" spans="1:10" ht="14.1" customHeight="1" x14ac:dyDescent="0.2">
      <c r="A80" s="102">
        <v>75</v>
      </c>
      <c r="B80" s="515" t="s">
        <v>2009</v>
      </c>
      <c r="C80" s="516"/>
      <c r="E80" s="102">
        <v>539</v>
      </c>
      <c r="F80" s="515" t="s">
        <v>2010</v>
      </c>
      <c r="G80" s="516"/>
      <c r="I80" s="102">
        <v>438</v>
      </c>
      <c r="J80" s="107" t="s">
        <v>2300</v>
      </c>
    </row>
    <row r="81" spans="1:10" ht="14.1" customHeight="1" x14ac:dyDescent="0.2">
      <c r="A81" s="102">
        <v>78</v>
      </c>
      <c r="B81" s="515" t="s">
        <v>2301</v>
      </c>
      <c r="C81" s="516"/>
      <c r="E81" s="102">
        <v>257</v>
      </c>
      <c r="F81" s="515" t="s">
        <v>2302</v>
      </c>
      <c r="G81" s="516"/>
      <c r="I81" s="102">
        <v>429</v>
      </c>
      <c r="J81" s="107" t="s">
        <v>2303</v>
      </c>
    </row>
    <row r="82" spans="1:10" ht="14.1" customHeight="1" x14ac:dyDescent="0.2">
      <c r="A82" s="102">
        <v>576</v>
      </c>
      <c r="B82" s="515" t="s">
        <v>2304</v>
      </c>
      <c r="C82" s="516"/>
      <c r="E82" s="102">
        <v>258</v>
      </c>
      <c r="F82" s="515" t="s">
        <v>2305</v>
      </c>
      <c r="G82" s="516"/>
      <c r="I82" s="102">
        <v>439</v>
      </c>
      <c r="J82" s="107" t="s">
        <v>2306</v>
      </c>
    </row>
    <row r="83" spans="1:10" ht="14.1" customHeight="1" x14ac:dyDescent="0.2">
      <c r="A83" s="102">
        <v>79</v>
      </c>
      <c r="B83" s="515" t="s">
        <v>2307</v>
      </c>
      <c r="C83" s="516"/>
      <c r="E83" s="102">
        <v>610</v>
      </c>
      <c r="F83" s="515" t="s">
        <v>2308</v>
      </c>
      <c r="G83" s="516"/>
      <c r="I83" s="102">
        <v>440</v>
      </c>
      <c r="J83" s="107" t="s">
        <v>2309</v>
      </c>
    </row>
    <row r="84" spans="1:10" ht="14.1" customHeight="1" x14ac:dyDescent="0.2">
      <c r="A84" s="102">
        <v>80</v>
      </c>
      <c r="B84" s="515" t="s">
        <v>2310</v>
      </c>
      <c r="C84" s="516"/>
      <c r="E84" s="102">
        <v>259</v>
      </c>
      <c r="F84" s="515" t="s">
        <v>2311</v>
      </c>
      <c r="G84" s="516"/>
      <c r="I84" s="102">
        <v>430</v>
      </c>
      <c r="J84" s="107" t="s">
        <v>1669</v>
      </c>
    </row>
    <row r="85" spans="1:10" ht="14.1" customHeight="1" x14ac:dyDescent="0.2">
      <c r="A85" s="102">
        <v>81</v>
      </c>
      <c r="B85" s="515" t="s">
        <v>1670</v>
      </c>
      <c r="C85" s="516"/>
      <c r="E85" s="102">
        <v>260</v>
      </c>
      <c r="F85" s="515" t="s">
        <v>1671</v>
      </c>
      <c r="G85" s="516"/>
      <c r="I85" s="102">
        <v>431</v>
      </c>
      <c r="J85" s="107" t="s">
        <v>1672</v>
      </c>
    </row>
    <row r="86" spans="1:10" ht="14.1" customHeight="1" x14ac:dyDescent="0.2">
      <c r="A86" s="102">
        <v>82</v>
      </c>
      <c r="B86" s="515" t="s">
        <v>1673</v>
      </c>
      <c r="C86" s="516"/>
      <c r="E86" s="102">
        <v>261</v>
      </c>
      <c r="F86" s="515" t="s">
        <v>1674</v>
      </c>
      <c r="G86" s="516"/>
      <c r="I86" s="102">
        <v>441</v>
      </c>
      <c r="J86" s="107" t="s">
        <v>1675</v>
      </c>
    </row>
    <row r="87" spans="1:10" ht="14.1" customHeight="1" x14ac:dyDescent="0.2">
      <c r="A87" s="102">
        <v>83</v>
      </c>
      <c r="B87" s="515" t="s">
        <v>1676</v>
      </c>
      <c r="C87" s="516"/>
      <c r="E87" s="102">
        <v>263</v>
      </c>
      <c r="F87" s="515" t="s">
        <v>1677</v>
      </c>
      <c r="G87" s="516"/>
      <c r="I87" s="102">
        <v>442</v>
      </c>
      <c r="J87" s="107" t="s">
        <v>1678</v>
      </c>
    </row>
    <row r="88" spans="1:10" ht="14.1" customHeight="1" x14ac:dyDescent="0.2">
      <c r="A88" s="102">
        <v>84</v>
      </c>
      <c r="B88" s="515" t="s">
        <v>1679</v>
      </c>
      <c r="C88" s="516"/>
      <c r="E88" s="102">
        <v>264</v>
      </c>
      <c r="F88" s="515" t="s">
        <v>1680</v>
      </c>
      <c r="G88" s="516"/>
      <c r="I88" s="102">
        <v>433</v>
      </c>
      <c r="J88" s="107" t="s">
        <v>1681</v>
      </c>
    </row>
    <row r="89" spans="1:10" ht="14.1" customHeight="1" x14ac:dyDescent="0.2">
      <c r="A89" s="102">
        <v>85</v>
      </c>
      <c r="B89" s="515" t="s">
        <v>1682</v>
      </c>
      <c r="C89" s="516"/>
      <c r="E89" s="102">
        <v>265</v>
      </c>
      <c r="F89" s="515" t="s">
        <v>1683</v>
      </c>
      <c r="G89" s="516"/>
      <c r="I89" s="102">
        <v>435</v>
      </c>
      <c r="J89" s="107" t="s">
        <v>1684</v>
      </c>
    </row>
    <row r="90" spans="1:10" ht="14.1" customHeight="1" x14ac:dyDescent="0.2">
      <c r="A90" s="102">
        <v>86</v>
      </c>
      <c r="B90" s="515" t="s">
        <v>1685</v>
      </c>
      <c r="C90" s="516"/>
      <c r="E90" s="102">
        <v>266</v>
      </c>
      <c r="F90" s="515" t="s">
        <v>1686</v>
      </c>
      <c r="G90" s="516"/>
      <c r="I90" s="102">
        <v>564</v>
      </c>
      <c r="J90" s="107" t="s">
        <v>1687</v>
      </c>
    </row>
    <row r="91" spans="1:10" ht="14.1" customHeight="1" x14ac:dyDescent="0.2">
      <c r="A91" s="102">
        <v>89</v>
      </c>
      <c r="B91" s="515" t="s">
        <v>1688</v>
      </c>
      <c r="C91" s="516"/>
      <c r="E91" s="102">
        <v>267</v>
      </c>
      <c r="F91" s="515" t="s">
        <v>1689</v>
      </c>
      <c r="G91" s="516"/>
      <c r="I91" s="102">
        <v>608</v>
      </c>
      <c r="J91" s="107" t="s">
        <v>1690</v>
      </c>
    </row>
    <row r="92" spans="1:10" ht="14.1" customHeight="1" x14ac:dyDescent="0.2">
      <c r="A92" s="102">
        <v>568</v>
      </c>
      <c r="B92" s="515" t="s">
        <v>1691</v>
      </c>
      <c r="C92" s="516"/>
      <c r="E92" s="102">
        <v>268</v>
      </c>
      <c r="F92" s="515" t="s">
        <v>1692</v>
      </c>
      <c r="G92" s="516"/>
      <c r="I92" s="102">
        <v>443</v>
      </c>
      <c r="J92" s="107" t="s">
        <v>1693</v>
      </c>
    </row>
    <row r="93" spans="1:10" ht="14.1" customHeight="1" x14ac:dyDescent="0.2">
      <c r="A93" s="102">
        <v>90</v>
      </c>
      <c r="B93" s="515" t="s">
        <v>1694</v>
      </c>
      <c r="C93" s="516"/>
      <c r="E93" s="102">
        <v>270</v>
      </c>
      <c r="F93" s="515" t="s">
        <v>1695</v>
      </c>
      <c r="G93" s="516"/>
      <c r="I93" s="102">
        <v>444</v>
      </c>
      <c r="J93" s="107" t="s">
        <v>1696</v>
      </c>
    </row>
    <row r="94" spans="1:10" ht="14.1" customHeight="1" x14ac:dyDescent="0.2">
      <c r="A94" s="102">
        <v>91</v>
      </c>
      <c r="B94" s="515" t="s">
        <v>1697</v>
      </c>
      <c r="C94" s="516"/>
      <c r="E94" s="102">
        <v>273</v>
      </c>
      <c r="F94" s="515" t="s">
        <v>1698</v>
      </c>
      <c r="G94" s="516"/>
      <c r="I94" s="102">
        <v>445</v>
      </c>
      <c r="J94" s="107" t="s">
        <v>1699</v>
      </c>
    </row>
    <row r="95" spans="1:10" ht="14.1" customHeight="1" x14ac:dyDescent="0.2">
      <c r="A95" s="102">
        <v>92</v>
      </c>
      <c r="B95" s="515" t="s">
        <v>1700</v>
      </c>
      <c r="C95" s="516"/>
      <c r="E95" s="102">
        <v>274</v>
      </c>
      <c r="F95" s="515" t="s">
        <v>1701</v>
      </c>
      <c r="G95" s="516"/>
      <c r="I95" s="102">
        <v>614</v>
      </c>
      <c r="J95" s="107" t="s">
        <v>1702</v>
      </c>
    </row>
    <row r="96" spans="1:10" ht="14.1" customHeight="1" x14ac:dyDescent="0.2">
      <c r="A96" s="102">
        <v>94</v>
      </c>
      <c r="B96" s="515" t="s">
        <v>1703</v>
      </c>
      <c r="C96" s="516"/>
      <c r="E96" s="102">
        <v>275</v>
      </c>
      <c r="F96" s="515" t="s">
        <v>1704</v>
      </c>
      <c r="G96" s="516"/>
      <c r="I96" s="102">
        <v>447</v>
      </c>
      <c r="J96" s="107" t="s">
        <v>1705</v>
      </c>
    </row>
    <row r="97" spans="1:10" ht="14.1" customHeight="1" x14ac:dyDescent="0.2">
      <c r="A97" s="102">
        <v>95</v>
      </c>
      <c r="B97" s="515" t="s">
        <v>1706</v>
      </c>
      <c r="C97" s="516"/>
      <c r="E97" s="102">
        <v>87</v>
      </c>
      <c r="F97" s="515" t="s">
        <v>1707</v>
      </c>
      <c r="G97" s="516"/>
      <c r="I97" s="102">
        <v>449</v>
      </c>
      <c r="J97" s="107" t="s">
        <v>1708</v>
      </c>
    </row>
    <row r="98" spans="1:10" ht="14.1" customHeight="1" x14ac:dyDescent="0.2">
      <c r="A98" s="102">
        <v>96</v>
      </c>
      <c r="B98" s="515" t="s">
        <v>1709</v>
      </c>
      <c r="C98" s="516"/>
      <c r="E98" s="102">
        <v>276</v>
      </c>
      <c r="F98" s="515" t="s">
        <v>1710</v>
      </c>
      <c r="G98" s="516"/>
      <c r="I98" s="102">
        <v>450</v>
      </c>
      <c r="J98" s="107" t="s">
        <v>1711</v>
      </c>
    </row>
    <row r="99" spans="1:10" ht="14.1" customHeight="1" x14ac:dyDescent="0.2">
      <c r="A99" s="102">
        <v>97</v>
      </c>
      <c r="B99" s="515" t="s">
        <v>1712</v>
      </c>
      <c r="C99" s="516"/>
      <c r="E99" s="102">
        <v>617</v>
      </c>
      <c r="F99" s="515" t="s">
        <v>1713</v>
      </c>
      <c r="G99" s="516"/>
      <c r="I99" s="102">
        <v>628</v>
      </c>
      <c r="J99" s="107" t="s">
        <v>1714</v>
      </c>
    </row>
    <row r="100" spans="1:10" ht="14.1" customHeight="1" x14ac:dyDescent="0.2">
      <c r="A100" s="102">
        <v>549</v>
      </c>
      <c r="B100" s="515" t="s">
        <v>493</v>
      </c>
      <c r="C100" s="516"/>
      <c r="E100" s="102">
        <v>278</v>
      </c>
      <c r="F100" s="515" t="s">
        <v>494</v>
      </c>
      <c r="G100" s="516"/>
      <c r="I100" s="102">
        <v>452</v>
      </c>
      <c r="J100" s="107" t="s">
        <v>495</v>
      </c>
    </row>
    <row r="101" spans="1:10" ht="14.1" customHeight="1" x14ac:dyDescent="0.2">
      <c r="A101" s="102">
        <v>598</v>
      </c>
      <c r="B101" s="515" t="s">
        <v>1721</v>
      </c>
      <c r="C101" s="516"/>
      <c r="E101" s="102">
        <v>279</v>
      </c>
      <c r="F101" s="515" t="s">
        <v>1722</v>
      </c>
      <c r="G101" s="516"/>
      <c r="I101" s="102">
        <v>631</v>
      </c>
      <c r="J101" s="107" t="s">
        <v>1379</v>
      </c>
    </row>
    <row r="102" spans="1:10" ht="14.1" customHeight="1" x14ac:dyDescent="0.2">
      <c r="A102" s="102">
        <v>98</v>
      </c>
      <c r="B102" s="515" t="s">
        <v>1380</v>
      </c>
      <c r="C102" s="516"/>
      <c r="E102" s="102">
        <v>612</v>
      </c>
      <c r="F102" s="515" t="s">
        <v>1381</v>
      </c>
      <c r="G102" s="516"/>
      <c r="I102" s="102">
        <v>453</v>
      </c>
      <c r="J102" s="107" t="s">
        <v>1382</v>
      </c>
    </row>
    <row r="103" spans="1:10" ht="14.1" customHeight="1" x14ac:dyDescent="0.2">
      <c r="A103" s="102">
        <v>99</v>
      </c>
      <c r="B103" s="515" t="s">
        <v>1383</v>
      </c>
      <c r="C103" s="516"/>
      <c r="E103" s="102">
        <v>280</v>
      </c>
      <c r="F103" s="515" t="s">
        <v>1384</v>
      </c>
      <c r="G103" s="516"/>
      <c r="I103" s="102">
        <v>454</v>
      </c>
      <c r="J103" s="107" t="s">
        <v>1385</v>
      </c>
    </row>
    <row r="104" spans="1:10" ht="14.1" customHeight="1" x14ac:dyDescent="0.2">
      <c r="A104" s="102">
        <v>100</v>
      </c>
      <c r="B104" s="515" t="s">
        <v>1386</v>
      </c>
      <c r="C104" s="516"/>
      <c r="E104" s="102">
        <v>281</v>
      </c>
      <c r="F104" s="515" t="s">
        <v>2425</v>
      </c>
      <c r="G104" s="516"/>
      <c r="I104" s="102">
        <v>575</v>
      </c>
      <c r="J104" s="107" t="s">
        <v>2440</v>
      </c>
    </row>
    <row r="105" spans="1:10" ht="14.1" customHeight="1" x14ac:dyDescent="0.2">
      <c r="A105" s="102">
        <v>101</v>
      </c>
      <c r="B105" s="515" t="s">
        <v>2441</v>
      </c>
      <c r="C105" s="516"/>
      <c r="E105" s="102">
        <v>295</v>
      </c>
      <c r="F105" s="515" t="s">
        <v>2442</v>
      </c>
      <c r="G105" s="516"/>
      <c r="I105" s="102">
        <v>456</v>
      </c>
      <c r="J105" s="107" t="s">
        <v>2443</v>
      </c>
    </row>
    <row r="106" spans="1:10" ht="14.1" customHeight="1" x14ac:dyDescent="0.2">
      <c r="A106" s="102">
        <v>585</v>
      </c>
      <c r="B106" s="515" t="s">
        <v>2444</v>
      </c>
      <c r="C106" s="516"/>
      <c r="E106" s="102">
        <v>282</v>
      </c>
      <c r="F106" s="515" t="s">
        <v>2445</v>
      </c>
      <c r="G106" s="516"/>
      <c r="I106" s="102">
        <v>457</v>
      </c>
      <c r="J106" s="107" t="s">
        <v>2446</v>
      </c>
    </row>
    <row r="107" spans="1:10" ht="14.1" customHeight="1" x14ac:dyDescent="0.2">
      <c r="A107" s="102">
        <v>102</v>
      </c>
      <c r="B107" s="515" t="s">
        <v>2447</v>
      </c>
      <c r="C107" s="516"/>
      <c r="E107" s="102">
        <v>283</v>
      </c>
      <c r="F107" s="515" t="s">
        <v>2448</v>
      </c>
      <c r="G107" s="516"/>
      <c r="I107" s="102">
        <v>458</v>
      </c>
      <c r="J107" s="107" t="s">
        <v>2449</v>
      </c>
    </row>
    <row r="108" spans="1:10" ht="14.1" customHeight="1" x14ac:dyDescent="0.2">
      <c r="A108" s="102">
        <v>103</v>
      </c>
      <c r="B108" s="515" t="s">
        <v>2450</v>
      </c>
      <c r="C108" s="516"/>
      <c r="E108" s="102">
        <v>284</v>
      </c>
      <c r="F108" s="515" t="s">
        <v>2451</v>
      </c>
      <c r="G108" s="516"/>
      <c r="I108" s="102">
        <v>557</v>
      </c>
      <c r="J108" s="107" t="s">
        <v>2452</v>
      </c>
    </row>
    <row r="109" spans="1:10" ht="14.1" customHeight="1" x14ac:dyDescent="0.2">
      <c r="A109" s="102">
        <v>104</v>
      </c>
      <c r="B109" s="515" t="s">
        <v>2453</v>
      </c>
      <c r="C109" s="516"/>
      <c r="E109" s="102">
        <v>285</v>
      </c>
      <c r="F109" s="515" t="s">
        <v>2454</v>
      </c>
      <c r="G109" s="516"/>
      <c r="I109" s="102">
        <v>459</v>
      </c>
      <c r="J109" s="107" t="s">
        <v>2455</v>
      </c>
    </row>
    <row r="110" spans="1:10" ht="14.1" customHeight="1" x14ac:dyDescent="0.2">
      <c r="A110" s="102">
        <v>105</v>
      </c>
      <c r="B110" s="515" t="s">
        <v>2456</v>
      </c>
      <c r="C110" s="516"/>
      <c r="E110" s="102">
        <v>287</v>
      </c>
      <c r="F110" s="515" t="s">
        <v>2457</v>
      </c>
      <c r="G110" s="516"/>
      <c r="I110" s="102">
        <v>626</v>
      </c>
      <c r="J110" s="107" t="s">
        <v>2458</v>
      </c>
    </row>
    <row r="111" spans="1:10" ht="14.1" customHeight="1" x14ac:dyDescent="0.2">
      <c r="A111" s="102">
        <v>106</v>
      </c>
      <c r="B111" s="515" t="s">
        <v>2459</v>
      </c>
      <c r="C111" s="516"/>
      <c r="E111" s="102">
        <v>288</v>
      </c>
      <c r="F111" s="515" t="s">
        <v>2460</v>
      </c>
      <c r="G111" s="516"/>
      <c r="I111" s="102">
        <v>460</v>
      </c>
      <c r="J111" s="107" t="s">
        <v>2461</v>
      </c>
    </row>
    <row r="112" spans="1:10" ht="14.1" customHeight="1" x14ac:dyDescent="0.2">
      <c r="A112" s="102">
        <v>107</v>
      </c>
      <c r="B112" s="515" t="s">
        <v>152</v>
      </c>
      <c r="C112" s="516"/>
      <c r="E112" s="102">
        <v>554</v>
      </c>
      <c r="F112" s="515" t="s">
        <v>2417</v>
      </c>
      <c r="G112" s="516"/>
      <c r="I112" s="102">
        <v>461</v>
      </c>
      <c r="J112" s="107" t="s">
        <v>2418</v>
      </c>
    </row>
    <row r="113" spans="1:10" ht="14.1" customHeight="1" x14ac:dyDescent="0.2">
      <c r="A113" s="102">
        <v>108</v>
      </c>
      <c r="B113" s="515" t="s">
        <v>2419</v>
      </c>
      <c r="C113" s="516"/>
      <c r="E113" s="102">
        <v>289</v>
      </c>
      <c r="F113" s="515" t="s">
        <v>2420</v>
      </c>
      <c r="G113" s="516"/>
      <c r="I113" s="102">
        <v>462</v>
      </c>
      <c r="J113" s="107" t="s">
        <v>2421</v>
      </c>
    </row>
    <row r="114" spans="1:10" ht="14.1" customHeight="1" x14ac:dyDescent="0.2">
      <c r="A114" s="102">
        <v>110</v>
      </c>
      <c r="B114" s="515" t="s">
        <v>2422</v>
      </c>
      <c r="C114" s="516"/>
      <c r="E114" s="102">
        <v>290</v>
      </c>
      <c r="F114" s="515" t="s">
        <v>2423</v>
      </c>
      <c r="G114" s="516"/>
      <c r="I114" s="102">
        <v>463</v>
      </c>
      <c r="J114" s="107" t="s">
        <v>2424</v>
      </c>
    </row>
    <row r="115" spans="1:10" ht="14.1" customHeight="1" x14ac:dyDescent="0.2">
      <c r="A115" s="102">
        <v>111</v>
      </c>
      <c r="B115" s="515" t="s">
        <v>264</v>
      </c>
      <c r="C115" s="516"/>
      <c r="E115" s="102">
        <v>537</v>
      </c>
      <c r="F115" s="515" t="s">
        <v>265</v>
      </c>
      <c r="G115" s="516"/>
      <c r="I115" s="102">
        <v>601</v>
      </c>
      <c r="J115" s="107" t="s">
        <v>266</v>
      </c>
    </row>
    <row r="116" spans="1:10" ht="14.1" customHeight="1" x14ac:dyDescent="0.2">
      <c r="A116" s="102">
        <v>113</v>
      </c>
      <c r="B116" s="515" t="s">
        <v>267</v>
      </c>
      <c r="C116" s="516"/>
      <c r="E116" s="102">
        <v>291</v>
      </c>
      <c r="F116" s="515" t="s">
        <v>265</v>
      </c>
      <c r="G116" s="516"/>
      <c r="I116" s="102">
        <v>464</v>
      </c>
      <c r="J116" s="107" t="s">
        <v>268</v>
      </c>
    </row>
    <row r="117" spans="1:10" ht="14.1" customHeight="1" x14ac:dyDescent="0.2">
      <c r="A117" s="102">
        <v>114</v>
      </c>
      <c r="B117" s="515" t="s">
        <v>269</v>
      </c>
      <c r="C117" s="516"/>
      <c r="E117" s="102">
        <v>292</v>
      </c>
      <c r="F117" s="515" t="s">
        <v>270</v>
      </c>
      <c r="G117" s="516"/>
      <c r="I117" s="102">
        <v>593</v>
      </c>
      <c r="J117" s="107" t="s">
        <v>271</v>
      </c>
    </row>
    <row r="118" spans="1:10" ht="14.1" customHeight="1" x14ac:dyDescent="0.2">
      <c r="A118" s="102">
        <v>619</v>
      </c>
      <c r="B118" s="515" t="s">
        <v>272</v>
      </c>
      <c r="C118" s="516"/>
      <c r="E118" s="102">
        <v>561</v>
      </c>
      <c r="F118" s="515" t="s">
        <v>273</v>
      </c>
      <c r="G118" s="516"/>
      <c r="I118" s="102">
        <v>466</v>
      </c>
      <c r="J118" s="107" t="s">
        <v>274</v>
      </c>
    </row>
    <row r="119" spans="1:10" ht="14.1" customHeight="1" x14ac:dyDescent="0.2">
      <c r="A119" s="102">
        <v>115</v>
      </c>
      <c r="B119" s="515" t="s">
        <v>275</v>
      </c>
      <c r="C119" s="516"/>
      <c r="E119" s="102">
        <v>293</v>
      </c>
      <c r="F119" s="515" t="s">
        <v>276</v>
      </c>
      <c r="G119" s="516"/>
      <c r="I119" s="102">
        <v>467</v>
      </c>
      <c r="J119" s="107" t="s">
        <v>277</v>
      </c>
    </row>
    <row r="120" spans="1:10" ht="14.1" customHeight="1" x14ac:dyDescent="0.2">
      <c r="A120" s="102">
        <v>116</v>
      </c>
      <c r="B120" s="515" t="s">
        <v>278</v>
      </c>
      <c r="C120" s="516"/>
      <c r="E120" s="102">
        <v>294</v>
      </c>
      <c r="F120" s="515" t="s">
        <v>279</v>
      </c>
      <c r="G120" s="516"/>
      <c r="I120" s="102">
        <v>468</v>
      </c>
      <c r="J120" s="107" t="s">
        <v>280</v>
      </c>
    </row>
    <row r="121" spans="1:10" ht="14.1" customHeight="1" x14ac:dyDescent="0.2">
      <c r="A121" s="102">
        <v>629</v>
      </c>
      <c r="B121" s="515" t="s">
        <v>281</v>
      </c>
      <c r="C121" s="516"/>
      <c r="E121" s="102">
        <v>296</v>
      </c>
      <c r="F121" s="515" t="s">
        <v>282</v>
      </c>
      <c r="G121" s="516"/>
      <c r="I121" s="102">
        <v>469</v>
      </c>
      <c r="J121" s="107" t="s">
        <v>283</v>
      </c>
    </row>
    <row r="122" spans="1:10" ht="14.1" customHeight="1" x14ac:dyDescent="0.2">
      <c r="A122" s="102">
        <v>117</v>
      </c>
      <c r="B122" s="515" t="s">
        <v>284</v>
      </c>
      <c r="C122" s="516"/>
      <c r="E122" s="102">
        <v>297</v>
      </c>
      <c r="F122" s="515" t="s">
        <v>285</v>
      </c>
      <c r="G122" s="516"/>
      <c r="I122" s="102">
        <v>471</v>
      </c>
      <c r="J122" s="107" t="s">
        <v>286</v>
      </c>
    </row>
    <row r="123" spans="1:10" ht="14.1" customHeight="1" x14ac:dyDescent="0.2">
      <c r="A123" s="102">
        <v>571</v>
      </c>
      <c r="B123" s="515" t="s">
        <v>287</v>
      </c>
      <c r="C123" s="516"/>
      <c r="E123" s="102">
        <v>588</v>
      </c>
      <c r="F123" s="515" t="s">
        <v>288</v>
      </c>
      <c r="G123" s="516"/>
      <c r="I123" s="102">
        <v>472</v>
      </c>
      <c r="J123" s="107" t="s">
        <v>289</v>
      </c>
    </row>
    <row r="124" spans="1:10" ht="14.1" customHeight="1" x14ac:dyDescent="0.2">
      <c r="A124" s="102">
        <v>118</v>
      </c>
      <c r="B124" s="515" t="s">
        <v>290</v>
      </c>
      <c r="C124" s="516"/>
      <c r="E124" s="102">
        <v>299</v>
      </c>
      <c r="F124" s="515" t="s">
        <v>1205</v>
      </c>
      <c r="G124" s="516"/>
      <c r="I124" s="102">
        <v>473</v>
      </c>
      <c r="J124" s="107" t="s">
        <v>1206</v>
      </c>
    </row>
    <row r="125" spans="1:10" ht="14.1" customHeight="1" x14ac:dyDescent="0.2">
      <c r="A125" s="102">
        <v>119</v>
      </c>
      <c r="B125" s="515" t="s">
        <v>1207</v>
      </c>
      <c r="C125" s="516"/>
      <c r="E125" s="102">
        <v>300</v>
      </c>
      <c r="F125" s="515" t="s">
        <v>1208</v>
      </c>
      <c r="G125" s="516"/>
      <c r="I125" s="102">
        <v>474</v>
      </c>
      <c r="J125" s="107" t="s">
        <v>1209</v>
      </c>
    </row>
    <row r="126" spans="1:10" ht="14.1" customHeight="1" x14ac:dyDescent="0.2">
      <c r="A126" s="102">
        <v>120</v>
      </c>
      <c r="B126" s="515" t="s">
        <v>1210</v>
      </c>
      <c r="C126" s="516"/>
      <c r="E126" s="102">
        <v>301</v>
      </c>
      <c r="F126" s="515" t="s">
        <v>1211</v>
      </c>
      <c r="G126" s="516"/>
      <c r="I126" s="102">
        <v>475</v>
      </c>
      <c r="J126" s="107" t="s">
        <v>1212</v>
      </c>
    </row>
    <row r="127" spans="1:10" ht="14.1" customHeight="1" x14ac:dyDescent="0.2">
      <c r="A127" s="102">
        <v>121</v>
      </c>
      <c r="B127" s="515" t="s">
        <v>1213</v>
      </c>
      <c r="C127" s="516"/>
      <c r="E127" s="102">
        <v>302</v>
      </c>
      <c r="F127" s="515" t="s">
        <v>1214</v>
      </c>
      <c r="G127" s="516"/>
      <c r="I127" s="102">
        <v>541</v>
      </c>
      <c r="J127" s="107" t="s">
        <v>1215</v>
      </c>
    </row>
    <row r="128" spans="1:10" ht="14.1" customHeight="1" x14ac:dyDescent="0.2">
      <c r="A128" s="102">
        <v>122</v>
      </c>
      <c r="B128" s="515" t="s">
        <v>1216</v>
      </c>
      <c r="C128" s="516"/>
      <c r="E128" s="102">
        <v>303</v>
      </c>
      <c r="F128" s="515" t="s">
        <v>1217</v>
      </c>
      <c r="G128" s="516"/>
      <c r="I128" s="102">
        <v>476</v>
      </c>
      <c r="J128" s="107" t="s">
        <v>1218</v>
      </c>
    </row>
    <row r="129" spans="1:10" ht="14.1" customHeight="1" x14ac:dyDescent="0.2">
      <c r="A129" s="102">
        <v>123</v>
      </c>
      <c r="B129" s="515" t="s">
        <v>1219</v>
      </c>
      <c r="C129" s="516"/>
      <c r="E129" s="102">
        <v>304</v>
      </c>
      <c r="F129" s="515" t="s">
        <v>1220</v>
      </c>
      <c r="G129" s="516"/>
      <c r="I129" s="102">
        <v>477</v>
      </c>
      <c r="J129" s="107" t="s">
        <v>1221</v>
      </c>
    </row>
    <row r="130" spans="1:10" ht="14.1" customHeight="1" x14ac:dyDescent="0.2">
      <c r="A130" s="102">
        <v>124</v>
      </c>
      <c r="B130" s="515" t="s">
        <v>1222</v>
      </c>
      <c r="C130" s="516"/>
      <c r="E130" s="102">
        <v>306</v>
      </c>
      <c r="F130" s="515" t="s">
        <v>54</v>
      </c>
      <c r="G130" s="516"/>
      <c r="I130" s="102">
        <v>478</v>
      </c>
      <c r="J130" s="107" t="s">
        <v>55</v>
      </c>
    </row>
    <row r="131" spans="1:10" ht="14.1" customHeight="1" x14ac:dyDescent="0.2">
      <c r="A131" s="102">
        <v>618</v>
      </c>
      <c r="B131" s="515" t="s">
        <v>56</v>
      </c>
      <c r="C131" s="516"/>
      <c r="E131" s="102">
        <v>307</v>
      </c>
      <c r="F131" s="515" t="s">
        <v>57</v>
      </c>
      <c r="G131" s="516"/>
      <c r="I131" s="102">
        <v>565</v>
      </c>
      <c r="J131" s="107" t="s">
        <v>58</v>
      </c>
    </row>
    <row r="132" spans="1:10" ht="14.1" customHeight="1" x14ac:dyDescent="0.2">
      <c r="A132" s="102">
        <v>125</v>
      </c>
      <c r="B132" s="515" t="s">
        <v>59</v>
      </c>
      <c r="C132" s="516"/>
      <c r="E132" s="102">
        <v>308</v>
      </c>
      <c r="F132" s="515" t="s">
        <v>60</v>
      </c>
      <c r="G132" s="516"/>
      <c r="I132" s="102">
        <v>558</v>
      </c>
      <c r="J132" s="107" t="s">
        <v>61</v>
      </c>
    </row>
    <row r="133" spans="1:10" ht="14.1" customHeight="1" x14ac:dyDescent="0.2">
      <c r="A133" s="102">
        <v>569</v>
      </c>
      <c r="B133" s="515" t="s">
        <v>62</v>
      </c>
      <c r="C133" s="516"/>
      <c r="E133" s="102">
        <v>605</v>
      </c>
      <c r="F133" s="515" t="s">
        <v>63</v>
      </c>
      <c r="G133" s="516"/>
      <c r="I133" s="102">
        <v>480</v>
      </c>
      <c r="J133" s="107" t="s">
        <v>64</v>
      </c>
    </row>
    <row r="134" spans="1:10" ht="14.1" customHeight="1" x14ac:dyDescent="0.2">
      <c r="A134" s="103">
        <v>127</v>
      </c>
      <c r="B134" s="517" t="s">
        <v>65</v>
      </c>
      <c r="C134" s="518"/>
      <c r="E134" s="103">
        <v>309</v>
      </c>
      <c r="F134" s="517" t="s">
        <v>66</v>
      </c>
      <c r="G134" s="518"/>
      <c r="I134" s="103">
        <v>481</v>
      </c>
      <c r="J134" s="104" t="s">
        <v>147</v>
      </c>
    </row>
    <row r="135" spans="1:10" ht="14.1" customHeight="1" x14ac:dyDescent="0.2">
      <c r="A135" s="103">
        <v>129</v>
      </c>
      <c r="B135" s="517" t="s">
        <v>148</v>
      </c>
      <c r="C135" s="518"/>
      <c r="E135" s="103">
        <v>542</v>
      </c>
      <c r="F135" s="517" t="s">
        <v>149</v>
      </c>
      <c r="G135" s="518"/>
      <c r="I135" s="103">
        <v>483</v>
      </c>
      <c r="J135" s="104" t="s">
        <v>150</v>
      </c>
    </row>
    <row r="136" spans="1:10" ht="14.1" customHeight="1" x14ac:dyDescent="0.2">
      <c r="A136" s="103">
        <v>604</v>
      </c>
      <c r="B136" s="517" t="s">
        <v>151</v>
      </c>
      <c r="C136" s="518"/>
      <c r="E136" s="103">
        <v>311</v>
      </c>
      <c r="F136" s="517" t="s">
        <v>213</v>
      </c>
      <c r="G136" s="518"/>
      <c r="I136" s="103">
        <v>484</v>
      </c>
      <c r="J136" s="104" t="s">
        <v>1252</v>
      </c>
    </row>
    <row r="137" spans="1:10" ht="14.1" customHeight="1" x14ac:dyDescent="0.2">
      <c r="A137" s="103">
        <v>130</v>
      </c>
      <c r="B137" s="517" t="s">
        <v>1253</v>
      </c>
      <c r="C137" s="518"/>
      <c r="E137" s="103">
        <v>312</v>
      </c>
      <c r="F137" s="517" t="s">
        <v>1254</v>
      </c>
      <c r="G137" s="518"/>
      <c r="I137" s="103">
        <v>485</v>
      </c>
      <c r="J137" s="104" t="s">
        <v>1255</v>
      </c>
    </row>
    <row r="138" spans="1:10" ht="14.1" customHeight="1" x14ac:dyDescent="0.2">
      <c r="A138" s="103">
        <v>131</v>
      </c>
      <c r="B138" s="517" t="s">
        <v>1256</v>
      </c>
      <c r="C138" s="518"/>
      <c r="E138" s="103">
        <v>313</v>
      </c>
      <c r="F138" s="517" t="s">
        <v>1257</v>
      </c>
      <c r="G138" s="518"/>
      <c r="I138" s="103">
        <v>486</v>
      </c>
      <c r="J138" s="104" t="s">
        <v>1258</v>
      </c>
    </row>
    <row r="139" spans="1:10" ht="14.1" customHeight="1" x14ac:dyDescent="0.2">
      <c r="A139" s="103">
        <v>132</v>
      </c>
      <c r="B139" s="517" t="s">
        <v>1259</v>
      </c>
      <c r="C139" s="518"/>
      <c r="E139" s="103">
        <v>314</v>
      </c>
      <c r="F139" s="517" t="s">
        <v>1260</v>
      </c>
      <c r="G139" s="518"/>
      <c r="I139" s="103">
        <v>487</v>
      </c>
      <c r="J139" s="104" t="s">
        <v>1261</v>
      </c>
    </row>
    <row r="140" spans="1:10" ht="14.1" customHeight="1" x14ac:dyDescent="0.2">
      <c r="A140" s="103">
        <v>134</v>
      </c>
      <c r="B140" s="517" t="s">
        <v>1262</v>
      </c>
      <c r="C140" s="518"/>
      <c r="E140" s="103">
        <v>535</v>
      </c>
      <c r="F140" s="517" t="s">
        <v>1263</v>
      </c>
      <c r="G140" s="518"/>
      <c r="I140" s="103">
        <v>488</v>
      </c>
      <c r="J140" s="104" t="s">
        <v>1264</v>
      </c>
    </row>
    <row r="141" spans="1:10" ht="14.1" customHeight="1" x14ac:dyDescent="0.2">
      <c r="A141" s="103">
        <v>135</v>
      </c>
      <c r="B141" s="517" t="s">
        <v>1265</v>
      </c>
      <c r="C141" s="518"/>
      <c r="E141" s="103">
        <v>315</v>
      </c>
      <c r="F141" s="517" t="s">
        <v>1266</v>
      </c>
      <c r="G141" s="518"/>
      <c r="I141" s="103">
        <v>489</v>
      </c>
      <c r="J141" s="104" t="s">
        <v>1267</v>
      </c>
    </row>
    <row r="142" spans="1:10" ht="14.1" customHeight="1" x14ac:dyDescent="0.2">
      <c r="A142" s="103">
        <v>136</v>
      </c>
      <c r="B142" s="517" t="s">
        <v>1268</v>
      </c>
      <c r="C142" s="518"/>
      <c r="E142" s="103">
        <v>316</v>
      </c>
      <c r="F142" s="517" t="s">
        <v>1269</v>
      </c>
      <c r="G142" s="518"/>
      <c r="I142" s="103">
        <v>490</v>
      </c>
      <c r="J142" s="104" t="s">
        <v>1270</v>
      </c>
    </row>
    <row r="143" spans="1:10" ht="14.1" customHeight="1" x14ac:dyDescent="0.2">
      <c r="A143" s="103">
        <v>137</v>
      </c>
      <c r="B143" s="517" t="s">
        <v>1271</v>
      </c>
      <c r="C143" s="518"/>
      <c r="E143" s="103">
        <v>317</v>
      </c>
      <c r="F143" s="517" t="s">
        <v>1272</v>
      </c>
      <c r="G143" s="518"/>
      <c r="I143" s="103">
        <v>491</v>
      </c>
      <c r="J143" s="104" t="s">
        <v>1273</v>
      </c>
    </row>
    <row r="144" spans="1:10" ht="14.1" customHeight="1" x14ac:dyDescent="0.2">
      <c r="A144" s="103">
        <v>138</v>
      </c>
      <c r="B144" s="517" t="s">
        <v>1274</v>
      </c>
      <c r="C144" s="518"/>
      <c r="E144" s="103">
        <v>318</v>
      </c>
      <c r="F144" s="517" t="s">
        <v>1275</v>
      </c>
      <c r="G144" s="518"/>
      <c r="I144" s="103">
        <v>492</v>
      </c>
      <c r="J144" s="104" t="s">
        <v>1276</v>
      </c>
    </row>
    <row r="145" spans="1:10" ht="14.1" customHeight="1" x14ac:dyDescent="0.2">
      <c r="A145" s="103">
        <v>139</v>
      </c>
      <c r="B145" s="517" t="s">
        <v>1277</v>
      </c>
      <c r="C145" s="518"/>
      <c r="E145" s="103">
        <v>320</v>
      </c>
      <c r="F145" s="517" t="s">
        <v>1278</v>
      </c>
      <c r="G145" s="518"/>
      <c r="I145" s="103">
        <v>493</v>
      </c>
      <c r="J145" s="104" t="s">
        <v>1279</v>
      </c>
    </row>
    <row r="146" spans="1:10" ht="14.1" customHeight="1" x14ac:dyDescent="0.2">
      <c r="A146" s="103">
        <v>140</v>
      </c>
      <c r="B146" s="517" t="s">
        <v>1280</v>
      </c>
      <c r="C146" s="518"/>
      <c r="E146" s="103">
        <v>321</v>
      </c>
      <c r="F146" s="517" t="s">
        <v>1281</v>
      </c>
      <c r="G146" s="518"/>
      <c r="I146" s="103">
        <v>494</v>
      </c>
      <c r="J146" s="104" t="s">
        <v>1282</v>
      </c>
    </row>
    <row r="147" spans="1:10" ht="14.1" customHeight="1" x14ac:dyDescent="0.2">
      <c r="A147" s="103">
        <v>141</v>
      </c>
      <c r="B147" s="517" t="s">
        <v>1283</v>
      </c>
      <c r="C147" s="518"/>
      <c r="E147" s="103">
        <v>323</v>
      </c>
      <c r="F147" s="517" t="s">
        <v>1284</v>
      </c>
      <c r="G147" s="518"/>
      <c r="I147" s="103">
        <v>495</v>
      </c>
      <c r="J147" s="104" t="s">
        <v>1285</v>
      </c>
    </row>
    <row r="148" spans="1:10" ht="14.1" customHeight="1" x14ac:dyDescent="0.2">
      <c r="A148" s="103">
        <v>510</v>
      </c>
      <c r="B148" s="517" t="s">
        <v>1286</v>
      </c>
      <c r="C148" s="518"/>
      <c r="E148" s="103">
        <v>324</v>
      </c>
      <c r="F148" s="517" t="s">
        <v>211</v>
      </c>
      <c r="G148" s="518"/>
      <c r="I148" s="103">
        <v>497</v>
      </c>
      <c r="J148" s="104" t="s">
        <v>212</v>
      </c>
    </row>
    <row r="149" spans="1:10" ht="14.1" customHeight="1" x14ac:dyDescent="0.2">
      <c r="A149" s="103">
        <v>144</v>
      </c>
      <c r="B149" s="517" t="s">
        <v>1578</v>
      </c>
      <c r="C149" s="518"/>
      <c r="E149" s="103">
        <v>325</v>
      </c>
      <c r="F149" s="517" t="s">
        <v>1579</v>
      </c>
      <c r="G149" s="518"/>
      <c r="I149" s="103">
        <v>498</v>
      </c>
      <c r="J149" s="104" t="s">
        <v>1580</v>
      </c>
    </row>
    <row r="150" spans="1:10" ht="14.1" customHeight="1" x14ac:dyDescent="0.2">
      <c r="A150" s="103">
        <v>145</v>
      </c>
      <c r="B150" s="517" t="s">
        <v>1581</v>
      </c>
      <c r="C150" s="518"/>
      <c r="E150" s="103">
        <v>326</v>
      </c>
      <c r="F150" s="517" t="s">
        <v>1582</v>
      </c>
      <c r="G150" s="518"/>
      <c r="I150" s="103">
        <v>579</v>
      </c>
      <c r="J150" s="104" t="s">
        <v>1583</v>
      </c>
    </row>
    <row r="151" spans="1:10" ht="14.1" customHeight="1" x14ac:dyDescent="0.2">
      <c r="A151" s="103">
        <v>146</v>
      </c>
      <c r="B151" s="517" t="s">
        <v>1584</v>
      </c>
      <c r="C151" s="518"/>
      <c r="E151" s="103">
        <v>327</v>
      </c>
      <c r="F151" s="517" t="s">
        <v>1585</v>
      </c>
      <c r="G151" s="518"/>
      <c r="I151" s="103">
        <v>499</v>
      </c>
      <c r="J151" s="104" t="s">
        <v>1586</v>
      </c>
    </row>
    <row r="152" spans="1:10" ht="14.1" customHeight="1" x14ac:dyDescent="0.2">
      <c r="A152" s="103">
        <v>148</v>
      </c>
      <c r="B152" s="517" t="s">
        <v>1587</v>
      </c>
      <c r="C152" s="518"/>
      <c r="E152" s="103">
        <v>328</v>
      </c>
      <c r="F152" s="517" t="s">
        <v>1588</v>
      </c>
      <c r="G152" s="518"/>
      <c r="I152" s="103">
        <v>500</v>
      </c>
      <c r="J152" s="104" t="s">
        <v>1589</v>
      </c>
    </row>
    <row r="153" spans="1:10" ht="14.1" customHeight="1" x14ac:dyDescent="0.2">
      <c r="A153" s="103">
        <v>149</v>
      </c>
      <c r="B153" s="517" t="s">
        <v>1288</v>
      </c>
      <c r="C153" s="518"/>
      <c r="E153" s="103">
        <v>329</v>
      </c>
      <c r="F153" s="517" t="s">
        <v>1289</v>
      </c>
      <c r="G153" s="518"/>
      <c r="I153" s="103">
        <v>502</v>
      </c>
      <c r="J153" s="104" t="s">
        <v>1290</v>
      </c>
    </row>
    <row r="154" spans="1:10" ht="14.1" customHeight="1" x14ac:dyDescent="0.2">
      <c r="A154" s="103">
        <v>150</v>
      </c>
      <c r="B154" s="517" t="s">
        <v>1291</v>
      </c>
      <c r="C154" s="518"/>
      <c r="E154" s="103">
        <v>330</v>
      </c>
      <c r="F154" s="517" t="s">
        <v>1292</v>
      </c>
      <c r="G154" s="518"/>
      <c r="I154" s="103">
        <v>584</v>
      </c>
      <c r="J154" s="104" t="s">
        <v>1293</v>
      </c>
    </row>
    <row r="155" spans="1:10" ht="14.1" customHeight="1" x14ac:dyDescent="0.2">
      <c r="A155" s="103">
        <v>152</v>
      </c>
      <c r="B155" s="517" t="s">
        <v>1294</v>
      </c>
      <c r="C155" s="518"/>
      <c r="E155" s="103">
        <v>581</v>
      </c>
      <c r="F155" s="517" t="s">
        <v>1295</v>
      </c>
      <c r="G155" s="518"/>
      <c r="I155" s="103">
        <v>503</v>
      </c>
      <c r="J155" s="104" t="s">
        <v>1296</v>
      </c>
    </row>
    <row r="156" spans="1:10" ht="14.1" customHeight="1" x14ac:dyDescent="0.2">
      <c r="A156" s="103">
        <v>153</v>
      </c>
      <c r="B156" s="517" t="s">
        <v>1297</v>
      </c>
      <c r="C156" s="518"/>
      <c r="E156" s="103">
        <v>331</v>
      </c>
      <c r="F156" s="517" t="s">
        <v>1298</v>
      </c>
      <c r="G156" s="518"/>
      <c r="I156" s="103">
        <v>504</v>
      </c>
      <c r="J156" s="104" t="s">
        <v>1299</v>
      </c>
    </row>
    <row r="157" spans="1:10" ht="14.1" customHeight="1" x14ac:dyDescent="0.2">
      <c r="A157" s="103">
        <v>154</v>
      </c>
      <c r="B157" s="517" t="s">
        <v>1300</v>
      </c>
      <c r="C157" s="518"/>
      <c r="E157" s="103">
        <v>332</v>
      </c>
      <c r="F157" s="517" t="s">
        <v>1301</v>
      </c>
      <c r="G157" s="518"/>
      <c r="I157" s="103">
        <v>505</v>
      </c>
      <c r="J157" s="104" t="s">
        <v>1302</v>
      </c>
    </row>
    <row r="158" spans="1:10" ht="14.1" customHeight="1" x14ac:dyDescent="0.2">
      <c r="A158" s="103">
        <v>155</v>
      </c>
      <c r="B158" s="517" t="s">
        <v>1303</v>
      </c>
      <c r="C158" s="518"/>
      <c r="E158" s="103">
        <v>333</v>
      </c>
      <c r="F158" s="517" t="s">
        <v>1304</v>
      </c>
      <c r="G158" s="518"/>
      <c r="I158" s="103">
        <v>506</v>
      </c>
      <c r="J158" s="104" t="s">
        <v>1305</v>
      </c>
    </row>
    <row r="159" spans="1:10" ht="14.1" customHeight="1" x14ac:dyDescent="0.2">
      <c r="A159" s="103">
        <v>156</v>
      </c>
      <c r="B159" s="517" t="s">
        <v>1306</v>
      </c>
      <c r="C159" s="518"/>
      <c r="E159" s="103">
        <v>334</v>
      </c>
      <c r="F159" s="517" t="s">
        <v>1307</v>
      </c>
      <c r="G159" s="518"/>
      <c r="I159" s="103">
        <v>507</v>
      </c>
      <c r="J159" s="104" t="s">
        <v>1308</v>
      </c>
    </row>
    <row r="160" spans="1:10" ht="14.1" customHeight="1" x14ac:dyDescent="0.2">
      <c r="A160" s="103">
        <v>158</v>
      </c>
      <c r="B160" s="517" t="s">
        <v>1309</v>
      </c>
      <c r="C160" s="518"/>
      <c r="E160" s="103">
        <v>455</v>
      </c>
      <c r="F160" s="517" t="s">
        <v>1310</v>
      </c>
      <c r="G160" s="518"/>
      <c r="I160" s="103">
        <v>508</v>
      </c>
      <c r="J160" s="104" t="s">
        <v>1311</v>
      </c>
    </row>
    <row r="161" spans="1:10" ht="14.1" customHeight="1" x14ac:dyDescent="0.2">
      <c r="A161" s="103">
        <v>159</v>
      </c>
      <c r="B161" s="517" t="s">
        <v>1312</v>
      </c>
      <c r="C161" s="518"/>
      <c r="E161" s="103">
        <v>335</v>
      </c>
      <c r="F161" s="517" t="s">
        <v>1313</v>
      </c>
      <c r="G161" s="518"/>
      <c r="I161" s="103">
        <v>509</v>
      </c>
      <c r="J161" s="104" t="s">
        <v>1314</v>
      </c>
    </row>
    <row r="162" spans="1:10" ht="14.1" customHeight="1" x14ac:dyDescent="0.2">
      <c r="A162" s="103">
        <v>161</v>
      </c>
      <c r="B162" s="517" t="s">
        <v>1315</v>
      </c>
      <c r="C162" s="518"/>
      <c r="E162" s="103">
        <v>337</v>
      </c>
      <c r="F162" s="517" t="s">
        <v>1316</v>
      </c>
      <c r="G162" s="518"/>
      <c r="I162" s="103">
        <v>511</v>
      </c>
      <c r="J162" s="104" t="s">
        <v>1317</v>
      </c>
    </row>
    <row r="163" spans="1:10" ht="14.1" customHeight="1" x14ac:dyDescent="0.2">
      <c r="A163" s="103">
        <v>609</v>
      </c>
      <c r="B163" s="517" t="s">
        <v>1318</v>
      </c>
      <c r="C163" s="518"/>
      <c r="E163" s="103">
        <v>338</v>
      </c>
      <c r="F163" s="517" t="s">
        <v>1319</v>
      </c>
      <c r="G163" s="518"/>
      <c r="I163" s="103">
        <v>512</v>
      </c>
      <c r="J163" s="104" t="s">
        <v>1320</v>
      </c>
    </row>
    <row r="164" spans="1:10" ht="14.1" customHeight="1" x14ac:dyDescent="0.2">
      <c r="A164" s="103">
        <v>163</v>
      </c>
      <c r="B164" s="517" t="s">
        <v>1321</v>
      </c>
      <c r="C164" s="518"/>
      <c r="E164" s="103">
        <v>339</v>
      </c>
      <c r="F164" s="517" t="s">
        <v>1322</v>
      </c>
      <c r="G164" s="518"/>
      <c r="I164" s="103">
        <v>513</v>
      </c>
      <c r="J164" s="104" t="s">
        <v>1323</v>
      </c>
    </row>
    <row r="165" spans="1:10" ht="14.1" customHeight="1" x14ac:dyDescent="0.2">
      <c r="A165" s="103">
        <v>164</v>
      </c>
      <c r="B165" s="517" t="s">
        <v>1324</v>
      </c>
      <c r="C165" s="518"/>
      <c r="E165" s="103">
        <v>340</v>
      </c>
      <c r="F165" s="517" t="s">
        <v>1325</v>
      </c>
      <c r="G165" s="518"/>
      <c r="I165" s="103">
        <v>514</v>
      </c>
      <c r="J165" s="104" t="s">
        <v>1326</v>
      </c>
    </row>
    <row r="166" spans="1:10" ht="14.1" customHeight="1" x14ac:dyDescent="0.2">
      <c r="A166" s="103">
        <v>165</v>
      </c>
      <c r="B166" s="517" t="s">
        <v>1327</v>
      </c>
      <c r="C166" s="518"/>
      <c r="E166" s="103">
        <v>271</v>
      </c>
      <c r="F166" s="517" t="s">
        <v>1328</v>
      </c>
      <c r="G166" s="518"/>
      <c r="I166" s="103">
        <v>516</v>
      </c>
      <c r="J166" s="104" t="s">
        <v>1329</v>
      </c>
    </row>
    <row r="167" spans="1:10" ht="14.1" customHeight="1" x14ac:dyDescent="0.2">
      <c r="A167" s="103">
        <v>599</v>
      </c>
      <c r="B167" s="517" t="s">
        <v>1330</v>
      </c>
      <c r="C167" s="518"/>
      <c r="E167" s="103">
        <v>616</v>
      </c>
      <c r="F167" s="517" t="s">
        <v>1331</v>
      </c>
      <c r="G167" s="518"/>
      <c r="I167" s="103">
        <v>625</v>
      </c>
      <c r="J167" s="104" t="s">
        <v>1332</v>
      </c>
    </row>
    <row r="168" spans="1:10" ht="14.1" customHeight="1" x14ac:dyDescent="0.2">
      <c r="A168" s="103">
        <v>166</v>
      </c>
      <c r="B168" s="517" t="s">
        <v>1333</v>
      </c>
      <c r="C168" s="518"/>
      <c r="E168" s="103">
        <v>341</v>
      </c>
      <c r="F168" s="517" t="s">
        <v>227</v>
      </c>
      <c r="G168" s="518"/>
      <c r="I168" s="103">
        <v>517</v>
      </c>
      <c r="J168" s="104" t="s">
        <v>228</v>
      </c>
    </row>
    <row r="169" spans="1:10" ht="14.1" customHeight="1" x14ac:dyDescent="0.2">
      <c r="A169" s="103">
        <v>167</v>
      </c>
      <c r="B169" s="517" t="s">
        <v>229</v>
      </c>
      <c r="C169" s="518"/>
      <c r="E169" s="103">
        <v>342</v>
      </c>
      <c r="F169" s="517" t="s">
        <v>230</v>
      </c>
      <c r="G169" s="518"/>
      <c r="I169" s="103">
        <v>518</v>
      </c>
      <c r="J169" s="104" t="s">
        <v>231</v>
      </c>
    </row>
    <row r="170" spans="1:10" ht="14.1" customHeight="1" x14ac:dyDescent="0.2">
      <c r="A170" s="103">
        <v>168</v>
      </c>
      <c r="B170" s="517" t="s">
        <v>232</v>
      </c>
      <c r="C170" s="518"/>
      <c r="E170" s="103">
        <v>343</v>
      </c>
      <c r="F170" s="517" t="s">
        <v>518</v>
      </c>
      <c r="G170" s="518"/>
      <c r="I170" s="103">
        <v>519</v>
      </c>
      <c r="J170" s="104" t="s">
        <v>519</v>
      </c>
    </row>
    <row r="171" spans="1:10" ht="14.1" customHeight="1" x14ac:dyDescent="0.2">
      <c r="A171" s="103">
        <v>169</v>
      </c>
      <c r="B171" s="517" t="s">
        <v>520</v>
      </c>
      <c r="C171" s="518"/>
      <c r="E171" s="103">
        <v>544</v>
      </c>
      <c r="F171" s="517" t="s">
        <v>521</v>
      </c>
      <c r="G171" s="518"/>
      <c r="I171" s="103">
        <v>520</v>
      </c>
      <c r="J171" s="104" t="s">
        <v>522</v>
      </c>
    </row>
    <row r="172" spans="1:10" ht="14.1" customHeight="1" x14ac:dyDescent="0.2">
      <c r="A172" s="103">
        <v>170</v>
      </c>
      <c r="B172" s="517" t="s">
        <v>523</v>
      </c>
      <c r="C172" s="518"/>
      <c r="E172" s="103">
        <v>344</v>
      </c>
      <c r="F172" s="517" t="s">
        <v>524</v>
      </c>
      <c r="G172" s="518"/>
      <c r="I172" s="103">
        <v>595</v>
      </c>
      <c r="J172" s="104" t="s">
        <v>525</v>
      </c>
    </row>
    <row r="173" spans="1:10" ht="14.1" customHeight="1" x14ac:dyDescent="0.2">
      <c r="A173" s="103">
        <v>171</v>
      </c>
      <c r="B173" s="517" t="s">
        <v>526</v>
      </c>
      <c r="C173" s="518"/>
      <c r="E173" s="103">
        <v>345</v>
      </c>
      <c r="F173" s="517" t="s">
        <v>527</v>
      </c>
      <c r="G173" s="518"/>
      <c r="I173" s="103">
        <v>521</v>
      </c>
      <c r="J173" s="104" t="s">
        <v>528</v>
      </c>
    </row>
    <row r="174" spans="1:10" ht="14.1" customHeight="1" x14ac:dyDescent="0.2">
      <c r="A174" s="103">
        <v>552</v>
      </c>
      <c r="B174" s="517" t="s">
        <v>529</v>
      </c>
      <c r="C174" s="518"/>
      <c r="E174" s="103">
        <v>346</v>
      </c>
      <c r="F174" s="517" t="s">
        <v>530</v>
      </c>
      <c r="G174" s="518"/>
      <c r="I174" s="103">
        <v>133</v>
      </c>
      <c r="J174" s="104" t="s">
        <v>531</v>
      </c>
    </row>
    <row r="175" spans="1:10" ht="14.1" customHeight="1" x14ac:dyDescent="0.2">
      <c r="A175" s="103">
        <v>172</v>
      </c>
      <c r="B175" s="517" t="s">
        <v>532</v>
      </c>
      <c r="C175" s="518"/>
      <c r="E175" s="103">
        <v>347</v>
      </c>
      <c r="F175" s="517" t="s">
        <v>533</v>
      </c>
      <c r="G175" s="518"/>
      <c r="I175" s="103">
        <v>522</v>
      </c>
      <c r="J175" s="104" t="s">
        <v>534</v>
      </c>
    </row>
    <row r="176" spans="1:10" ht="14.1" customHeight="1" x14ac:dyDescent="0.2">
      <c r="A176" s="103">
        <v>173</v>
      </c>
      <c r="B176" s="517" t="s">
        <v>535</v>
      </c>
      <c r="C176" s="518"/>
      <c r="E176" s="103">
        <v>348</v>
      </c>
      <c r="F176" s="517" t="s">
        <v>536</v>
      </c>
      <c r="G176" s="518"/>
      <c r="I176" s="103">
        <v>543</v>
      </c>
      <c r="J176" s="104" t="s">
        <v>537</v>
      </c>
    </row>
    <row r="177" spans="1:10" ht="14.1" customHeight="1" x14ac:dyDescent="0.2">
      <c r="A177" s="103">
        <v>559</v>
      </c>
      <c r="B177" s="517" t="s">
        <v>538</v>
      </c>
      <c r="C177" s="518"/>
      <c r="E177" s="103">
        <v>349</v>
      </c>
      <c r="F177" s="517" t="s">
        <v>539</v>
      </c>
      <c r="G177" s="518"/>
      <c r="I177" s="103">
        <v>523</v>
      </c>
      <c r="J177" s="104" t="s">
        <v>540</v>
      </c>
    </row>
    <row r="178" spans="1:10" ht="14.1" customHeight="1" x14ac:dyDescent="0.2">
      <c r="A178" s="103">
        <v>560</v>
      </c>
      <c r="B178" s="517" t="s">
        <v>541</v>
      </c>
      <c r="C178" s="518"/>
      <c r="E178" s="103">
        <v>350</v>
      </c>
      <c r="F178" s="517" t="s">
        <v>542</v>
      </c>
      <c r="G178" s="518"/>
      <c r="I178" s="103">
        <v>524</v>
      </c>
      <c r="J178" s="104" t="s">
        <v>543</v>
      </c>
    </row>
    <row r="179" spans="1:10" ht="14.1" customHeight="1" x14ac:dyDescent="0.2">
      <c r="A179" s="103">
        <v>623</v>
      </c>
      <c r="B179" s="517" t="s">
        <v>544</v>
      </c>
      <c r="C179" s="518"/>
      <c r="E179" s="103">
        <v>573</v>
      </c>
      <c r="F179" s="517" t="s">
        <v>545</v>
      </c>
      <c r="G179" s="518"/>
      <c r="I179" s="103">
        <v>525</v>
      </c>
      <c r="J179" s="104" t="s">
        <v>546</v>
      </c>
    </row>
    <row r="180" spans="1:10" ht="14.1" customHeight="1" x14ac:dyDescent="0.2">
      <c r="A180" s="103">
        <v>175</v>
      </c>
      <c r="B180" s="517" t="s">
        <v>547</v>
      </c>
      <c r="C180" s="518"/>
      <c r="E180" s="103">
        <v>351</v>
      </c>
      <c r="F180" s="517" t="s">
        <v>548</v>
      </c>
      <c r="G180" s="518"/>
      <c r="I180" s="103">
        <v>526</v>
      </c>
      <c r="J180" s="104" t="s">
        <v>549</v>
      </c>
    </row>
    <row r="181" spans="1:10" ht="14.1" customHeight="1" x14ac:dyDescent="0.2">
      <c r="A181" s="103">
        <v>176</v>
      </c>
      <c r="B181" s="517" t="s">
        <v>550</v>
      </c>
      <c r="C181" s="518"/>
      <c r="E181" s="103">
        <v>352</v>
      </c>
      <c r="F181" s="517" t="s">
        <v>551</v>
      </c>
      <c r="G181" s="518"/>
      <c r="I181" s="103">
        <v>527</v>
      </c>
      <c r="J181" s="104" t="s">
        <v>552</v>
      </c>
    </row>
    <row r="182" spans="1:10" ht="14.1" customHeight="1" x14ac:dyDescent="0.2">
      <c r="A182" s="103">
        <v>177</v>
      </c>
      <c r="B182" s="517" t="s">
        <v>553</v>
      </c>
      <c r="C182" s="518"/>
      <c r="E182" s="103">
        <v>354</v>
      </c>
      <c r="F182" s="517" t="s">
        <v>554</v>
      </c>
      <c r="G182" s="518"/>
      <c r="I182" s="103">
        <v>528</v>
      </c>
      <c r="J182" s="104" t="s">
        <v>555</v>
      </c>
    </row>
    <row r="183" spans="1:10" ht="14.1" customHeight="1" x14ac:dyDescent="0.2">
      <c r="A183" s="103">
        <v>178</v>
      </c>
      <c r="B183" s="517" t="s">
        <v>556</v>
      </c>
      <c r="C183" s="518"/>
      <c r="E183" s="103">
        <v>355</v>
      </c>
      <c r="F183" s="517" t="s">
        <v>557</v>
      </c>
      <c r="G183" s="518"/>
      <c r="I183" s="103">
        <v>566</v>
      </c>
      <c r="J183" s="104" t="s">
        <v>2263</v>
      </c>
    </row>
    <row r="184" spans="1:10" ht="14.1" customHeight="1" x14ac:dyDescent="0.2">
      <c r="A184" s="103">
        <v>179</v>
      </c>
      <c r="B184" s="517" t="s">
        <v>2264</v>
      </c>
      <c r="C184" s="518"/>
      <c r="E184" s="103">
        <v>356</v>
      </c>
      <c r="F184" s="517" t="s">
        <v>2265</v>
      </c>
      <c r="G184" s="518"/>
      <c r="I184" s="103">
        <v>530</v>
      </c>
      <c r="J184" s="104" t="s">
        <v>2266</v>
      </c>
    </row>
    <row r="185" spans="1:10" ht="14.1" customHeight="1" x14ac:dyDescent="0.2">
      <c r="A185" s="103">
        <v>596</v>
      </c>
      <c r="B185" s="517" t="s">
        <v>2267</v>
      </c>
      <c r="C185" s="518"/>
      <c r="E185" s="103">
        <v>589</v>
      </c>
      <c r="F185" s="517" t="s">
        <v>2268</v>
      </c>
      <c r="G185" s="518"/>
      <c r="I185" s="103">
        <v>531</v>
      </c>
      <c r="J185" s="104" t="s">
        <v>2269</v>
      </c>
    </row>
    <row r="186" spans="1:10" ht="14.1" customHeight="1" x14ac:dyDescent="0.2">
      <c r="A186" s="103">
        <v>180</v>
      </c>
      <c r="B186" s="517" t="s">
        <v>234</v>
      </c>
      <c r="C186" s="518"/>
      <c r="E186" s="103">
        <v>620</v>
      </c>
      <c r="F186" s="517" t="s">
        <v>235</v>
      </c>
      <c r="G186" s="518"/>
      <c r="I186" s="103">
        <v>540</v>
      </c>
      <c r="J186" s="104" t="s">
        <v>236</v>
      </c>
    </row>
    <row r="187" spans="1:10" ht="14.1" customHeight="1" x14ac:dyDescent="0.2">
      <c r="A187" s="103">
        <v>181</v>
      </c>
      <c r="B187" s="517" t="s">
        <v>237</v>
      </c>
      <c r="C187" s="518"/>
      <c r="E187" s="103">
        <v>590</v>
      </c>
      <c r="F187" s="517" t="s">
        <v>238</v>
      </c>
      <c r="G187" s="518"/>
      <c r="I187" s="103">
        <v>602</v>
      </c>
      <c r="J187" s="104" t="s">
        <v>239</v>
      </c>
    </row>
    <row r="188" spans="1:10" ht="14.1" customHeight="1" x14ac:dyDescent="0.2">
      <c r="A188" s="103">
        <v>597</v>
      </c>
      <c r="B188" s="517" t="s">
        <v>240</v>
      </c>
      <c r="C188" s="518"/>
      <c r="E188" s="103">
        <v>357</v>
      </c>
      <c r="F188" s="517" t="s">
        <v>241</v>
      </c>
      <c r="G188" s="518"/>
      <c r="I188" s="103">
        <v>534</v>
      </c>
      <c r="J188" s="104" t="s">
        <v>242</v>
      </c>
    </row>
    <row r="189" spans="1:10" ht="14.1" customHeight="1" x14ac:dyDescent="0.2">
      <c r="A189" s="103">
        <v>183</v>
      </c>
      <c r="B189" s="517" t="s">
        <v>243</v>
      </c>
      <c r="C189" s="518"/>
      <c r="E189" s="103">
        <v>583</v>
      </c>
      <c r="F189" s="517" t="s">
        <v>244</v>
      </c>
      <c r="G189" s="518"/>
      <c r="I189" s="25"/>
      <c r="J189" s="97"/>
    </row>
    <row r="190" spans="1:10" ht="14.1" customHeight="1" x14ac:dyDescent="0.2">
      <c r="A190" s="105">
        <v>184</v>
      </c>
      <c r="B190" s="521" t="s">
        <v>245</v>
      </c>
      <c r="C190" s="522"/>
      <c r="E190" s="105">
        <v>574</v>
      </c>
      <c r="F190" s="521" t="s">
        <v>244</v>
      </c>
      <c r="G190" s="522"/>
      <c r="I190" s="26"/>
      <c r="J190" s="98"/>
    </row>
    <row r="191" spans="1:10" ht="5.0999999999999996" customHeight="1" x14ac:dyDescent="0.2"/>
  </sheetData>
  <sheetProtection password="C79A" sheet="1" objects="1"/>
  <mergeCells count="376">
    <mergeCell ref="F157:G157"/>
    <mergeCell ref="F158:G158"/>
    <mergeCell ref="F159:G159"/>
    <mergeCell ref="F160:G160"/>
    <mergeCell ref="F155:G155"/>
    <mergeCell ref="F156:G156"/>
    <mergeCell ref="F152:G152"/>
    <mergeCell ref="F153:G153"/>
    <mergeCell ref="F190:G190"/>
    <mergeCell ref="F141:G141"/>
    <mergeCell ref="F142:G142"/>
    <mergeCell ref="F143:G143"/>
    <mergeCell ref="F144:G144"/>
    <mergeCell ref="F154:G154"/>
    <mergeCell ref="F161:G161"/>
    <mergeCell ref="F162:G162"/>
    <mergeCell ref="F150:G150"/>
    <mergeCell ref="F151:G151"/>
    <mergeCell ref="F139:G139"/>
    <mergeCell ref="F140:G140"/>
    <mergeCell ref="F133:G133"/>
    <mergeCell ref="F134:G134"/>
    <mergeCell ref="F135:G135"/>
    <mergeCell ref="F136:G136"/>
    <mergeCell ref="F137:G137"/>
    <mergeCell ref="B10:C10"/>
    <mergeCell ref="B11:C11"/>
    <mergeCell ref="B12:C12"/>
    <mergeCell ref="B13:C13"/>
    <mergeCell ref="F138:G138"/>
    <mergeCell ref="B18:C18"/>
    <mergeCell ref="B19:C19"/>
    <mergeCell ref="A1:B2"/>
    <mergeCell ref="A3:J3"/>
    <mergeCell ref="F4:G4"/>
    <mergeCell ref="F5:G5"/>
    <mergeCell ref="B5:C5"/>
    <mergeCell ref="B14:C14"/>
    <mergeCell ref="B15:C15"/>
    <mergeCell ref="B16:C16"/>
    <mergeCell ref="B17:C17"/>
    <mergeCell ref="B6:C6"/>
    <mergeCell ref="B7:C7"/>
    <mergeCell ref="B8:C8"/>
    <mergeCell ref="B9:C9"/>
    <mergeCell ref="B22:C22"/>
    <mergeCell ref="B23:C23"/>
    <mergeCell ref="B24:C24"/>
    <mergeCell ref="B25:C25"/>
    <mergeCell ref="B20:C20"/>
    <mergeCell ref="B21:C21"/>
    <mergeCell ref="B30:C30"/>
    <mergeCell ref="B31:C31"/>
    <mergeCell ref="B32:C32"/>
    <mergeCell ref="B33:C33"/>
    <mergeCell ref="B26:C26"/>
    <mergeCell ref="B27:C27"/>
    <mergeCell ref="B28:C28"/>
    <mergeCell ref="B29:C29"/>
    <mergeCell ref="B38:C38"/>
    <mergeCell ref="B39:C39"/>
    <mergeCell ref="B40:C40"/>
    <mergeCell ref="B41:C41"/>
    <mergeCell ref="B34:C34"/>
    <mergeCell ref="B35:C35"/>
    <mergeCell ref="B36:C36"/>
    <mergeCell ref="B37:C37"/>
    <mergeCell ref="B46:C46"/>
    <mergeCell ref="B47:C47"/>
    <mergeCell ref="B48:C48"/>
    <mergeCell ref="B49:C49"/>
    <mergeCell ref="B42:C42"/>
    <mergeCell ref="B43:C43"/>
    <mergeCell ref="B44:C44"/>
    <mergeCell ref="B45:C45"/>
    <mergeCell ref="B54:C54"/>
    <mergeCell ref="B55:C55"/>
    <mergeCell ref="B56:C56"/>
    <mergeCell ref="B57:C57"/>
    <mergeCell ref="B50:C50"/>
    <mergeCell ref="B51:C51"/>
    <mergeCell ref="B52:C52"/>
    <mergeCell ref="B53:C53"/>
    <mergeCell ref="B62:C62"/>
    <mergeCell ref="B63:C63"/>
    <mergeCell ref="B64:C64"/>
    <mergeCell ref="B65:C65"/>
    <mergeCell ref="B58:C58"/>
    <mergeCell ref="B59:C59"/>
    <mergeCell ref="B60:C60"/>
    <mergeCell ref="B61:C61"/>
    <mergeCell ref="B70:C70"/>
    <mergeCell ref="B71:C71"/>
    <mergeCell ref="B72:C72"/>
    <mergeCell ref="B73:C73"/>
    <mergeCell ref="B66:C66"/>
    <mergeCell ref="B67:C67"/>
    <mergeCell ref="B68:C68"/>
    <mergeCell ref="B69:C69"/>
    <mergeCell ref="B78:C78"/>
    <mergeCell ref="B79:C79"/>
    <mergeCell ref="B80:C80"/>
    <mergeCell ref="B81:C81"/>
    <mergeCell ref="B74:C74"/>
    <mergeCell ref="B75:C75"/>
    <mergeCell ref="B76:C76"/>
    <mergeCell ref="B77:C77"/>
    <mergeCell ref="B86:C86"/>
    <mergeCell ref="B87:C87"/>
    <mergeCell ref="B88:C88"/>
    <mergeCell ref="B89:C89"/>
    <mergeCell ref="B82:C82"/>
    <mergeCell ref="B83:C83"/>
    <mergeCell ref="B84:C84"/>
    <mergeCell ref="B85:C85"/>
    <mergeCell ref="B94:C94"/>
    <mergeCell ref="B95:C95"/>
    <mergeCell ref="B96:C96"/>
    <mergeCell ref="B97:C97"/>
    <mergeCell ref="B90:C90"/>
    <mergeCell ref="B91:C91"/>
    <mergeCell ref="B92:C92"/>
    <mergeCell ref="B93:C93"/>
    <mergeCell ref="B102:C102"/>
    <mergeCell ref="B103:C103"/>
    <mergeCell ref="B104:C104"/>
    <mergeCell ref="B105:C105"/>
    <mergeCell ref="B98:C98"/>
    <mergeCell ref="B99:C99"/>
    <mergeCell ref="B100:C100"/>
    <mergeCell ref="B101:C101"/>
    <mergeCell ref="B110:C110"/>
    <mergeCell ref="B111:C111"/>
    <mergeCell ref="B112:C112"/>
    <mergeCell ref="B113:C113"/>
    <mergeCell ref="B106:C106"/>
    <mergeCell ref="B107:C107"/>
    <mergeCell ref="B108:C108"/>
    <mergeCell ref="B109:C109"/>
    <mergeCell ref="B118:C118"/>
    <mergeCell ref="B119:C119"/>
    <mergeCell ref="B120:C120"/>
    <mergeCell ref="B121:C121"/>
    <mergeCell ref="B114:C114"/>
    <mergeCell ref="B115:C115"/>
    <mergeCell ref="B116:C116"/>
    <mergeCell ref="B117:C117"/>
    <mergeCell ref="B126:C126"/>
    <mergeCell ref="B127:C127"/>
    <mergeCell ref="B128:C128"/>
    <mergeCell ref="B129:C129"/>
    <mergeCell ref="B122:C122"/>
    <mergeCell ref="B123:C123"/>
    <mergeCell ref="B124:C124"/>
    <mergeCell ref="B125:C125"/>
    <mergeCell ref="B134:C134"/>
    <mergeCell ref="B135:C135"/>
    <mergeCell ref="B136:C136"/>
    <mergeCell ref="B137:C137"/>
    <mergeCell ref="B130:C130"/>
    <mergeCell ref="B131:C131"/>
    <mergeCell ref="B132:C132"/>
    <mergeCell ref="B133:C133"/>
    <mergeCell ref="B142:C142"/>
    <mergeCell ref="B143:C143"/>
    <mergeCell ref="B144:C144"/>
    <mergeCell ref="B145:C145"/>
    <mergeCell ref="B138:C138"/>
    <mergeCell ref="B139:C139"/>
    <mergeCell ref="B140:C140"/>
    <mergeCell ref="B141:C141"/>
    <mergeCell ref="B150:C150"/>
    <mergeCell ref="B151:C151"/>
    <mergeCell ref="B152:C152"/>
    <mergeCell ref="B153:C153"/>
    <mergeCell ref="B146:C146"/>
    <mergeCell ref="B147:C147"/>
    <mergeCell ref="B148:C148"/>
    <mergeCell ref="B149:C149"/>
    <mergeCell ref="B158:C158"/>
    <mergeCell ref="B159:C159"/>
    <mergeCell ref="B160:C160"/>
    <mergeCell ref="B161:C161"/>
    <mergeCell ref="B154:C154"/>
    <mergeCell ref="B155:C155"/>
    <mergeCell ref="B156:C156"/>
    <mergeCell ref="B157:C157"/>
    <mergeCell ref="B166:C166"/>
    <mergeCell ref="B167:C167"/>
    <mergeCell ref="B168:C168"/>
    <mergeCell ref="B169:C169"/>
    <mergeCell ref="B162:C162"/>
    <mergeCell ref="B163:C163"/>
    <mergeCell ref="B164:C164"/>
    <mergeCell ref="B165:C165"/>
    <mergeCell ref="B180:C180"/>
    <mergeCell ref="B181:C181"/>
    <mergeCell ref="B170:C170"/>
    <mergeCell ref="B171:C171"/>
    <mergeCell ref="B172:C172"/>
    <mergeCell ref="B173:C173"/>
    <mergeCell ref="B174:C174"/>
    <mergeCell ref="B175:C175"/>
    <mergeCell ref="B176:C176"/>
    <mergeCell ref="B177:C177"/>
    <mergeCell ref="B178:C178"/>
    <mergeCell ref="B179:C179"/>
    <mergeCell ref="B188:C188"/>
    <mergeCell ref="B189:C189"/>
    <mergeCell ref="B182:C182"/>
    <mergeCell ref="B183:C183"/>
    <mergeCell ref="B184:C184"/>
    <mergeCell ref="B185:C185"/>
    <mergeCell ref="B186:C186"/>
    <mergeCell ref="B187:C187"/>
    <mergeCell ref="B190:C190"/>
    <mergeCell ref="F145:G145"/>
    <mergeCell ref="F146:G146"/>
    <mergeCell ref="F147:G147"/>
    <mergeCell ref="F148:G148"/>
    <mergeCell ref="F149:G149"/>
    <mergeCell ref="F167:G167"/>
    <mergeCell ref="F168:G168"/>
    <mergeCell ref="F169:G169"/>
    <mergeCell ref="F170:G170"/>
    <mergeCell ref="F163:G163"/>
    <mergeCell ref="F164:G164"/>
    <mergeCell ref="F165:G165"/>
    <mergeCell ref="F166:G166"/>
    <mergeCell ref="F175:G175"/>
    <mergeCell ref="F176:G176"/>
    <mergeCell ref="F177:G177"/>
    <mergeCell ref="F178:G178"/>
    <mergeCell ref="F171:G171"/>
    <mergeCell ref="F172:G172"/>
    <mergeCell ref="F173:G173"/>
    <mergeCell ref="F174:G174"/>
    <mergeCell ref="F183:G183"/>
    <mergeCell ref="F184:G184"/>
    <mergeCell ref="F185:G185"/>
    <mergeCell ref="F186:G186"/>
    <mergeCell ref="F179:G179"/>
    <mergeCell ref="F180:G180"/>
    <mergeCell ref="F181:G181"/>
    <mergeCell ref="F182:G182"/>
    <mergeCell ref="F187:G187"/>
    <mergeCell ref="F188:G188"/>
    <mergeCell ref="F189:G189"/>
    <mergeCell ref="B4:C4"/>
    <mergeCell ref="F6:G6"/>
    <mergeCell ref="F7:G7"/>
    <mergeCell ref="F8:G8"/>
    <mergeCell ref="F9:G9"/>
    <mergeCell ref="F10:G10"/>
    <mergeCell ref="F11:G11"/>
    <mergeCell ref="F16:G16"/>
    <mergeCell ref="F17:G17"/>
    <mergeCell ref="F18:G18"/>
    <mergeCell ref="F19:G19"/>
    <mergeCell ref="F12:G12"/>
    <mergeCell ref="F13:G13"/>
    <mergeCell ref="F14:G14"/>
    <mergeCell ref="F15:G15"/>
    <mergeCell ref="F24:G24"/>
    <mergeCell ref="F25:G25"/>
    <mergeCell ref="F26:G26"/>
    <mergeCell ref="F27:G27"/>
    <mergeCell ref="F20:G20"/>
    <mergeCell ref="F21:G21"/>
    <mergeCell ref="F22:G22"/>
    <mergeCell ref="F23:G23"/>
    <mergeCell ref="F32:G32"/>
    <mergeCell ref="F33:G33"/>
    <mergeCell ref="F34:G34"/>
    <mergeCell ref="F35:G35"/>
    <mergeCell ref="F28:G28"/>
    <mergeCell ref="F29:G29"/>
    <mergeCell ref="F30:G30"/>
    <mergeCell ref="F31:G31"/>
    <mergeCell ref="F40:G40"/>
    <mergeCell ref="F41:G41"/>
    <mergeCell ref="F42:G42"/>
    <mergeCell ref="F43:G43"/>
    <mergeCell ref="F36:G36"/>
    <mergeCell ref="F37:G37"/>
    <mergeCell ref="F38:G38"/>
    <mergeCell ref="F39:G39"/>
    <mergeCell ref="F48:G48"/>
    <mergeCell ref="F49:G49"/>
    <mergeCell ref="F50:G50"/>
    <mergeCell ref="F51:G51"/>
    <mergeCell ref="F44:G44"/>
    <mergeCell ref="F45:G45"/>
    <mergeCell ref="F46:G46"/>
    <mergeCell ref="F47:G47"/>
    <mergeCell ref="F56:G56"/>
    <mergeCell ref="F57:G57"/>
    <mergeCell ref="F58:G58"/>
    <mergeCell ref="F59:G59"/>
    <mergeCell ref="F52:G52"/>
    <mergeCell ref="F53:G53"/>
    <mergeCell ref="F54:G54"/>
    <mergeCell ref="F55:G55"/>
    <mergeCell ref="F64:G64"/>
    <mergeCell ref="F65:G65"/>
    <mergeCell ref="F66:G66"/>
    <mergeCell ref="F67:G67"/>
    <mergeCell ref="F60:G60"/>
    <mergeCell ref="F61:G61"/>
    <mergeCell ref="F62:G62"/>
    <mergeCell ref="F63:G63"/>
    <mergeCell ref="F72:G72"/>
    <mergeCell ref="F73:G73"/>
    <mergeCell ref="F74:G74"/>
    <mergeCell ref="F75:G75"/>
    <mergeCell ref="F68:G68"/>
    <mergeCell ref="F69:G69"/>
    <mergeCell ref="F70:G70"/>
    <mergeCell ref="F71:G71"/>
    <mergeCell ref="F80:G80"/>
    <mergeCell ref="F81:G81"/>
    <mergeCell ref="F82:G82"/>
    <mergeCell ref="F83:G83"/>
    <mergeCell ref="F76:G76"/>
    <mergeCell ref="F77:G77"/>
    <mergeCell ref="F78:G78"/>
    <mergeCell ref="F79:G79"/>
    <mergeCell ref="F88:G88"/>
    <mergeCell ref="F89:G89"/>
    <mergeCell ref="F90:G90"/>
    <mergeCell ref="F91:G91"/>
    <mergeCell ref="F84:G84"/>
    <mergeCell ref="F85:G85"/>
    <mergeCell ref="F86:G86"/>
    <mergeCell ref="F87:G87"/>
    <mergeCell ref="F96:G96"/>
    <mergeCell ref="F97:G97"/>
    <mergeCell ref="F98:G98"/>
    <mergeCell ref="F99:G99"/>
    <mergeCell ref="F92:G92"/>
    <mergeCell ref="F93:G93"/>
    <mergeCell ref="F94:G94"/>
    <mergeCell ref="F95:G95"/>
    <mergeCell ref="F104:G104"/>
    <mergeCell ref="F105:G105"/>
    <mergeCell ref="F106:G106"/>
    <mergeCell ref="F107:G107"/>
    <mergeCell ref="F100:G100"/>
    <mergeCell ref="F101:G101"/>
    <mergeCell ref="F102:G102"/>
    <mergeCell ref="F103:G103"/>
    <mergeCell ref="F112:G112"/>
    <mergeCell ref="F113:G113"/>
    <mergeCell ref="F114:G114"/>
    <mergeCell ref="F115:G115"/>
    <mergeCell ref="F108:G108"/>
    <mergeCell ref="F109:G109"/>
    <mergeCell ref="F110:G110"/>
    <mergeCell ref="F111:G111"/>
    <mergeCell ref="F120:G120"/>
    <mergeCell ref="F121:G121"/>
    <mergeCell ref="F122:G122"/>
    <mergeCell ref="F123:G123"/>
    <mergeCell ref="F116:G116"/>
    <mergeCell ref="F117:G117"/>
    <mergeCell ref="F118:G118"/>
    <mergeCell ref="F119:G119"/>
    <mergeCell ref="F132:G132"/>
    <mergeCell ref="F128:G128"/>
    <mergeCell ref="F129:G129"/>
    <mergeCell ref="F130:G130"/>
    <mergeCell ref="F131:G131"/>
    <mergeCell ref="F124:G124"/>
    <mergeCell ref="F125:G125"/>
    <mergeCell ref="F126:G126"/>
    <mergeCell ref="F127:G127"/>
  </mergeCells>
  <phoneticPr fontId="2" type="noConversion"/>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9055118110236227" right="0.59055118110236227" top="0.78740157480314965" bottom="0.98425196850393704" header="0.59055118110236227" footer="0.78740157480314965"/>
  <pageSetup paperSize="9" scale="85" fitToHeight="0"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J60"/>
  <sheetViews>
    <sheetView showGridLines="0" showRowColHeaders="0" workbookViewId="0">
      <pane ySplit="2" topLeftCell="A3" activePane="bottomLeft" state="frozen"/>
      <selection pane="bottomLeft" activeCell="A3" sqref="A3:J3"/>
    </sheetView>
  </sheetViews>
  <sheetFormatPr defaultColWidth="0" defaultRowHeight="12.75" zeroHeight="1" x14ac:dyDescent="0.2"/>
  <cols>
    <col min="1" max="10" width="10.7109375" customWidth="1"/>
    <col min="11" max="11" width="0.85546875" customWidth="1"/>
  </cols>
  <sheetData>
    <row r="1" spans="1:10" ht="20.100000000000001" customHeight="1" x14ac:dyDescent="0.2">
      <c r="A1" s="312" t="s">
        <v>559</v>
      </c>
      <c r="B1" s="313"/>
      <c r="C1" s="126" t="s">
        <v>95</v>
      </c>
      <c r="D1" s="123" t="s">
        <v>560</v>
      </c>
      <c r="E1" s="123" t="s">
        <v>1410</v>
      </c>
      <c r="F1" s="144" t="s">
        <v>2177</v>
      </c>
      <c r="G1" s="123" t="s">
        <v>96</v>
      </c>
      <c r="H1" s="144" t="s">
        <v>97</v>
      </c>
      <c r="I1" s="123" t="s">
        <v>1411</v>
      </c>
      <c r="J1" s="124" t="s">
        <v>98</v>
      </c>
    </row>
    <row r="2" spans="1:10" s="3" customFormat="1" ht="20.100000000000001" customHeight="1" x14ac:dyDescent="0.2">
      <c r="A2" s="314"/>
      <c r="B2" s="315"/>
      <c r="C2" s="127" t="s">
        <v>1114</v>
      </c>
      <c r="D2" s="128" t="s">
        <v>1413</v>
      </c>
      <c r="E2" s="128" t="s">
        <v>1115</v>
      </c>
      <c r="F2" s="128" t="s">
        <v>1412</v>
      </c>
      <c r="G2" s="128" t="s">
        <v>99</v>
      </c>
      <c r="H2" s="128" t="s">
        <v>1116</v>
      </c>
      <c r="I2" s="129" t="s">
        <v>100</v>
      </c>
      <c r="J2" s="125"/>
    </row>
    <row r="3" spans="1:10" ht="42.75" customHeight="1" x14ac:dyDescent="0.2">
      <c r="A3" s="573" t="s">
        <v>1175</v>
      </c>
      <c r="B3" s="574"/>
      <c r="C3" s="574"/>
      <c r="D3" s="574"/>
      <c r="E3" s="574"/>
      <c r="F3" s="574"/>
      <c r="G3" s="574"/>
      <c r="H3" s="574"/>
      <c r="I3" s="574"/>
      <c r="J3" s="575"/>
    </row>
    <row r="4" spans="1:10" ht="14.1" customHeight="1" x14ac:dyDescent="0.2">
      <c r="A4" s="116"/>
      <c r="B4" s="116"/>
      <c r="C4" s="116"/>
      <c r="D4" s="116"/>
      <c r="E4" s="116"/>
      <c r="F4" s="116"/>
      <c r="G4" s="116"/>
      <c r="H4" s="116"/>
      <c r="I4" s="116"/>
      <c r="J4" s="116"/>
    </row>
    <row r="5" spans="1:10" ht="14.1" customHeight="1" x14ac:dyDescent="0.2">
      <c r="A5" s="568" t="s">
        <v>247</v>
      </c>
      <c r="B5" s="576"/>
      <c r="C5" s="576"/>
      <c r="D5" s="577"/>
      <c r="E5" s="116"/>
      <c r="F5" s="116"/>
      <c r="G5" s="116"/>
      <c r="H5" s="116"/>
      <c r="I5" s="116"/>
      <c r="J5" s="116"/>
    </row>
    <row r="6" spans="1:10" ht="14.1" customHeight="1" x14ac:dyDescent="0.2">
      <c r="A6" s="117">
        <v>1</v>
      </c>
      <c r="B6" s="536" t="s">
        <v>248</v>
      </c>
      <c r="C6" s="537"/>
      <c r="D6" s="578"/>
      <c r="E6" s="116"/>
      <c r="F6" s="116"/>
      <c r="G6" s="116"/>
      <c r="H6" s="116"/>
      <c r="I6" s="116"/>
      <c r="J6" s="116"/>
    </row>
    <row r="7" spans="1:10" ht="14.1" customHeight="1" x14ac:dyDescent="0.2">
      <c r="A7" s="118">
        <v>2</v>
      </c>
      <c r="B7" s="540" t="s">
        <v>249</v>
      </c>
      <c r="C7" s="541"/>
      <c r="D7" s="580"/>
      <c r="E7" s="116"/>
      <c r="F7" s="116"/>
      <c r="G7" s="116"/>
      <c r="H7" s="116"/>
      <c r="I7" s="116"/>
      <c r="J7" s="116"/>
    </row>
    <row r="8" spans="1:10" ht="14.1" customHeight="1" x14ac:dyDescent="0.2">
      <c r="A8" s="119">
        <v>3</v>
      </c>
      <c r="B8" s="544" t="s">
        <v>250</v>
      </c>
      <c r="C8" s="545"/>
      <c r="D8" s="581"/>
      <c r="E8" s="116"/>
      <c r="F8" s="116"/>
      <c r="G8" s="116"/>
      <c r="H8" s="116"/>
      <c r="I8" s="116"/>
      <c r="J8" s="116"/>
    </row>
    <row r="9" spans="1:10" ht="14.1" customHeight="1" x14ac:dyDescent="0.2">
      <c r="A9" s="116"/>
      <c r="B9" s="116"/>
      <c r="C9" s="116"/>
      <c r="D9" s="116"/>
      <c r="E9" s="116"/>
      <c r="F9" s="116"/>
      <c r="G9" s="116"/>
      <c r="H9" s="116"/>
      <c r="I9" s="116"/>
      <c r="J9" s="116"/>
    </row>
    <row r="10" spans="1:10" ht="14.1" customHeight="1" x14ac:dyDescent="0.2">
      <c r="A10" s="548" t="s">
        <v>214</v>
      </c>
      <c r="B10" s="549"/>
      <c r="C10" s="549"/>
      <c r="D10" s="549"/>
      <c r="E10" s="550"/>
      <c r="F10" s="550"/>
      <c r="G10" s="579"/>
      <c r="H10" s="116"/>
      <c r="I10" s="116"/>
      <c r="J10" s="116"/>
    </row>
    <row r="11" spans="1:10" ht="13.5" customHeight="1" x14ac:dyDescent="0.2">
      <c r="A11" s="117">
        <v>11</v>
      </c>
      <c r="B11" s="536" t="s">
        <v>215</v>
      </c>
      <c r="C11" s="537"/>
      <c r="D11" s="537"/>
      <c r="E11" s="538"/>
      <c r="F11" s="538"/>
      <c r="G11" s="539"/>
      <c r="H11" s="116"/>
      <c r="I11" s="116"/>
      <c r="J11" s="116"/>
    </row>
    <row r="12" spans="1:10" ht="14.1" customHeight="1" x14ac:dyDescent="0.2">
      <c r="A12" s="118">
        <v>12</v>
      </c>
      <c r="B12" s="540" t="s">
        <v>216</v>
      </c>
      <c r="C12" s="541"/>
      <c r="D12" s="541"/>
      <c r="E12" s="542"/>
      <c r="F12" s="542"/>
      <c r="G12" s="543"/>
      <c r="H12" s="116"/>
      <c r="I12" s="116"/>
      <c r="J12" s="116"/>
    </row>
    <row r="13" spans="1:10" ht="14.1" customHeight="1" x14ac:dyDescent="0.2">
      <c r="A13" s="118">
        <v>13</v>
      </c>
      <c r="B13" s="540" t="s">
        <v>217</v>
      </c>
      <c r="C13" s="541"/>
      <c r="D13" s="541"/>
      <c r="E13" s="542"/>
      <c r="F13" s="542"/>
      <c r="G13" s="543"/>
      <c r="H13" s="116"/>
      <c r="I13" s="116"/>
      <c r="J13" s="116"/>
    </row>
    <row r="14" spans="1:10" ht="14.1" customHeight="1" x14ac:dyDescent="0.2">
      <c r="A14" s="118">
        <v>21</v>
      </c>
      <c r="B14" s="540" t="s">
        <v>218</v>
      </c>
      <c r="C14" s="541"/>
      <c r="D14" s="541"/>
      <c r="E14" s="542"/>
      <c r="F14" s="542"/>
      <c r="G14" s="543"/>
      <c r="H14" s="116"/>
      <c r="I14" s="116"/>
      <c r="J14" s="116"/>
    </row>
    <row r="15" spans="1:10" ht="14.1" customHeight="1" x14ac:dyDescent="0.2">
      <c r="A15" s="118">
        <v>22</v>
      </c>
      <c r="B15" s="540" t="s">
        <v>219</v>
      </c>
      <c r="C15" s="541"/>
      <c r="D15" s="541"/>
      <c r="E15" s="542"/>
      <c r="F15" s="542"/>
      <c r="G15" s="543"/>
      <c r="H15" s="116"/>
      <c r="I15" s="116"/>
      <c r="J15" s="116"/>
    </row>
    <row r="16" spans="1:10" ht="14.1" customHeight="1" x14ac:dyDescent="0.2">
      <c r="A16" s="118">
        <v>31</v>
      </c>
      <c r="B16" s="540" t="s">
        <v>220</v>
      </c>
      <c r="C16" s="541"/>
      <c r="D16" s="541"/>
      <c r="E16" s="542"/>
      <c r="F16" s="542"/>
      <c r="G16" s="543"/>
      <c r="H16" s="116"/>
      <c r="I16" s="116"/>
      <c r="J16" s="116"/>
    </row>
    <row r="17" spans="1:10" ht="14.1" customHeight="1" x14ac:dyDescent="0.2">
      <c r="A17" s="118">
        <v>41</v>
      </c>
      <c r="B17" s="540" t="s">
        <v>221</v>
      </c>
      <c r="C17" s="541"/>
      <c r="D17" s="541"/>
      <c r="E17" s="542"/>
      <c r="F17" s="542"/>
      <c r="G17" s="543"/>
      <c r="H17" s="116"/>
      <c r="I17" s="116"/>
      <c r="J17" s="116"/>
    </row>
    <row r="18" spans="1:10" ht="14.1" customHeight="1" x14ac:dyDescent="0.2">
      <c r="A18" s="119">
        <v>42</v>
      </c>
      <c r="B18" s="544" t="s">
        <v>222</v>
      </c>
      <c r="C18" s="545"/>
      <c r="D18" s="545"/>
      <c r="E18" s="546"/>
      <c r="F18" s="546"/>
      <c r="G18" s="547"/>
      <c r="H18" s="116"/>
      <c r="I18" s="116"/>
      <c r="J18" s="116"/>
    </row>
    <row r="19" spans="1:10" ht="14.1" customHeight="1" x14ac:dyDescent="0.2">
      <c r="A19" s="116"/>
      <c r="B19" s="116"/>
      <c r="C19" s="116"/>
      <c r="D19" s="116"/>
      <c r="E19" s="116"/>
      <c r="F19" s="116"/>
      <c r="G19" s="116"/>
      <c r="H19" s="116"/>
      <c r="I19" s="116"/>
      <c r="J19" s="116"/>
    </row>
    <row r="20" spans="1:10" ht="14.1" customHeight="1" x14ac:dyDescent="0.2">
      <c r="A20" s="548" t="s">
        <v>223</v>
      </c>
      <c r="B20" s="549"/>
      <c r="C20" s="549"/>
      <c r="D20" s="549"/>
      <c r="E20" s="550"/>
      <c r="F20" s="550"/>
      <c r="G20" s="550"/>
      <c r="H20" s="551"/>
      <c r="I20" s="551"/>
      <c r="J20" s="552"/>
    </row>
    <row r="21" spans="1:10" ht="28.5" customHeight="1" x14ac:dyDescent="0.2">
      <c r="A21" s="120">
        <v>10</v>
      </c>
      <c r="B21" s="553" t="s">
        <v>224</v>
      </c>
      <c r="C21" s="554"/>
      <c r="D21" s="554"/>
      <c r="E21" s="554"/>
      <c r="F21" s="554"/>
      <c r="G21" s="554"/>
      <c r="H21" s="554"/>
      <c r="I21" s="554"/>
      <c r="J21" s="555"/>
    </row>
    <row r="22" spans="1:10" ht="14.1" customHeight="1" x14ac:dyDescent="0.2">
      <c r="A22" s="121">
        <v>11</v>
      </c>
      <c r="B22" s="533" t="s">
        <v>225</v>
      </c>
      <c r="C22" s="534"/>
      <c r="D22" s="534"/>
      <c r="E22" s="534"/>
      <c r="F22" s="534"/>
      <c r="G22" s="534"/>
      <c r="H22" s="534"/>
      <c r="I22" s="534"/>
      <c r="J22" s="535"/>
    </row>
    <row r="23" spans="1:10" ht="14.1" customHeight="1" x14ac:dyDescent="0.2">
      <c r="A23" s="121">
        <v>20</v>
      </c>
      <c r="B23" s="533" t="s">
        <v>226</v>
      </c>
      <c r="C23" s="534"/>
      <c r="D23" s="534"/>
      <c r="E23" s="534"/>
      <c r="F23" s="534"/>
      <c r="G23" s="534"/>
      <c r="H23" s="534"/>
      <c r="I23" s="534"/>
      <c r="J23" s="535"/>
    </row>
    <row r="24" spans="1:10" ht="26.25" customHeight="1" x14ac:dyDescent="0.2">
      <c r="A24" s="121">
        <v>21</v>
      </c>
      <c r="B24" s="533" t="s">
        <v>1066</v>
      </c>
      <c r="C24" s="534"/>
      <c r="D24" s="534"/>
      <c r="E24" s="534"/>
      <c r="F24" s="534"/>
      <c r="G24" s="534"/>
      <c r="H24" s="534"/>
      <c r="I24" s="534"/>
      <c r="J24" s="535"/>
    </row>
    <row r="25" spans="1:10" ht="14.1" customHeight="1" x14ac:dyDescent="0.2">
      <c r="A25" s="121">
        <v>30</v>
      </c>
      <c r="B25" s="533" t="s">
        <v>1067</v>
      </c>
      <c r="C25" s="534"/>
      <c r="D25" s="534"/>
      <c r="E25" s="534"/>
      <c r="F25" s="534"/>
      <c r="G25" s="534"/>
      <c r="H25" s="534"/>
      <c r="I25" s="534"/>
      <c r="J25" s="535"/>
    </row>
    <row r="26" spans="1:10" ht="24.75" customHeight="1" x14ac:dyDescent="0.2">
      <c r="A26" s="121">
        <v>31</v>
      </c>
      <c r="B26" s="533" t="s">
        <v>1068</v>
      </c>
      <c r="C26" s="534"/>
      <c r="D26" s="534"/>
      <c r="E26" s="534"/>
      <c r="F26" s="534"/>
      <c r="G26" s="534"/>
      <c r="H26" s="534"/>
      <c r="I26" s="534"/>
      <c r="J26" s="535"/>
    </row>
    <row r="27" spans="1:10" ht="27" customHeight="1" x14ac:dyDescent="0.2">
      <c r="A27" s="121">
        <v>32</v>
      </c>
      <c r="B27" s="533" t="s">
        <v>1069</v>
      </c>
      <c r="C27" s="534"/>
      <c r="D27" s="534"/>
      <c r="E27" s="534"/>
      <c r="F27" s="534"/>
      <c r="G27" s="534"/>
      <c r="H27" s="534"/>
      <c r="I27" s="534"/>
      <c r="J27" s="535"/>
    </row>
    <row r="28" spans="1:10" ht="16.5" customHeight="1" x14ac:dyDescent="0.2">
      <c r="A28" s="121">
        <v>40</v>
      </c>
      <c r="B28" s="533" t="s">
        <v>1070</v>
      </c>
      <c r="C28" s="534"/>
      <c r="D28" s="534"/>
      <c r="E28" s="534"/>
      <c r="F28" s="534"/>
      <c r="G28" s="534"/>
      <c r="H28" s="534"/>
      <c r="I28" s="534"/>
      <c r="J28" s="535"/>
    </row>
    <row r="29" spans="1:10" ht="27.75" customHeight="1" x14ac:dyDescent="0.2">
      <c r="A29" s="122">
        <v>50</v>
      </c>
      <c r="B29" s="565" t="s">
        <v>1909</v>
      </c>
      <c r="C29" s="566"/>
      <c r="D29" s="566"/>
      <c r="E29" s="566"/>
      <c r="F29" s="566"/>
      <c r="G29" s="566"/>
      <c r="H29" s="566"/>
      <c r="I29" s="566"/>
      <c r="J29" s="567"/>
    </row>
    <row r="30" spans="1:10" ht="14.1" customHeight="1" x14ac:dyDescent="0.2">
      <c r="A30" s="116"/>
      <c r="B30" s="116"/>
      <c r="C30" s="116"/>
      <c r="D30" s="116"/>
      <c r="E30" s="116"/>
      <c r="F30" s="116"/>
      <c r="G30" s="116"/>
      <c r="H30" s="116"/>
      <c r="I30" s="116"/>
      <c r="J30" s="116"/>
    </row>
    <row r="31" spans="1:10" ht="14.1" customHeight="1" x14ac:dyDescent="0.2">
      <c r="A31" s="568" t="s">
        <v>1337</v>
      </c>
      <c r="B31" s="569"/>
      <c r="C31" s="569"/>
      <c r="D31" s="569"/>
      <c r="E31" s="569"/>
      <c r="F31" s="569"/>
      <c r="G31" s="569"/>
      <c r="H31" s="569"/>
      <c r="I31" s="569"/>
      <c r="J31" s="570"/>
    </row>
    <row r="32" spans="1:10" ht="13.5" customHeight="1" x14ac:dyDescent="0.2">
      <c r="A32" s="218">
        <v>1</v>
      </c>
      <c r="B32" s="571" t="s">
        <v>922</v>
      </c>
      <c r="C32" s="572"/>
      <c r="D32" s="572"/>
      <c r="E32" s="572"/>
      <c r="F32" s="572"/>
      <c r="G32" s="572"/>
      <c r="H32" s="556" t="s">
        <v>558</v>
      </c>
      <c r="I32" s="557"/>
      <c r="J32" s="558"/>
    </row>
    <row r="33" spans="1:10" ht="14.1" customHeight="1" x14ac:dyDescent="0.2">
      <c r="A33" s="219">
        <v>2</v>
      </c>
      <c r="B33" s="529" t="s">
        <v>923</v>
      </c>
      <c r="C33" s="530"/>
      <c r="D33" s="530"/>
      <c r="E33" s="530"/>
      <c r="F33" s="530"/>
      <c r="G33" s="530"/>
      <c r="H33" s="559"/>
      <c r="I33" s="560"/>
      <c r="J33" s="561"/>
    </row>
    <row r="34" spans="1:10" ht="14.1" customHeight="1" x14ac:dyDescent="0.2">
      <c r="A34" s="219">
        <v>3</v>
      </c>
      <c r="B34" s="529" t="s">
        <v>924</v>
      </c>
      <c r="C34" s="530"/>
      <c r="D34" s="530"/>
      <c r="E34" s="530"/>
      <c r="F34" s="530"/>
      <c r="G34" s="530"/>
      <c r="H34" s="559"/>
      <c r="I34" s="560"/>
      <c r="J34" s="561"/>
    </row>
    <row r="35" spans="1:10" ht="14.1" customHeight="1" x14ac:dyDescent="0.2">
      <c r="A35" s="219">
        <v>4</v>
      </c>
      <c r="B35" s="529" t="s">
        <v>925</v>
      </c>
      <c r="C35" s="530"/>
      <c r="D35" s="530"/>
      <c r="E35" s="530"/>
      <c r="F35" s="530"/>
      <c r="G35" s="530"/>
      <c r="H35" s="559"/>
      <c r="I35" s="560"/>
      <c r="J35" s="561"/>
    </row>
    <row r="36" spans="1:10" ht="14.1" customHeight="1" x14ac:dyDescent="0.2">
      <c r="A36" s="219">
        <v>5</v>
      </c>
      <c r="B36" s="529" t="s">
        <v>926</v>
      </c>
      <c r="C36" s="530"/>
      <c r="D36" s="530"/>
      <c r="E36" s="530"/>
      <c r="F36" s="530"/>
      <c r="G36" s="530"/>
      <c r="H36" s="559"/>
      <c r="I36" s="560"/>
      <c r="J36" s="561"/>
    </row>
    <row r="37" spans="1:10" ht="14.1" customHeight="1" x14ac:dyDescent="0.2">
      <c r="A37" s="220">
        <v>6</v>
      </c>
      <c r="B37" s="531" t="s">
        <v>927</v>
      </c>
      <c r="C37" s="532"/>
      <c r="D37" s="532"/>
      <c r="E37" s="532"/>
      <c r="F37" s="532"/>
      <c r="G37" s="532"/>
      <c r="H37" s="562"/>
      <c r="I37" s="563"/>
      <c r="J37" s="564"/>
    </row>
    <row r="38" spans="1:10" ht="14.1" customHeight="1" x14ac:dyDescent="0.2">
      <c r="A38" s="221">
        <v>7</v>
      </c>
      <c r="B38" s="604" t="s">
        <v>2059</v>
      </c>
      <c r="C38" s="605"/>
      <c r="D38" s="605"/>
      <c r="E38" s="605"/>
      <c r="F38" s="605"/>
      <c r="G38" s="605"/>
      <c r="H38" s="586" t="s">
        <v>1815</v>
      </c>
      <c r="I38" s="587"/>
      <c r="J38" s="587"/>
    </row>
    <row r="39" spans="1:10" ht="14.1" customHeight="1" x14ac:dyDescent="0.2">
      <c r="A39" s="225">
        <v>8</v>
      </c>
      <c r="B39" s="527" t="s">
        <v>1816</v>
      </c>
      <c r="C39" s="528"/>
      <c r="D39" s="528"/>
      <c r="E39" s="528"/>
      <c r="F39" s="528"/>
      <c r="G39" s="528"/>
      <c r="H39" s="588"/>
      <c r="I39" s="589"/>
      <c r="J39" s="589"/>
    </row>
    <row r="40" spans="1:10" ht="14.1" customHeight="1" x14ac:dyDescent="0.2">
      <c r="A40" s="222">
        <v>9</v>
      </c>
      <c r="B40" s="527" t="s">
        <v>928</v>
      </c>
      <c r="C40" s="528"/>
      <c r="D40" s="528"/>
      <c r="E40" s="528"/>
      <c r="F40" s="528"/>
      <c r="G40" s="528"/>
      <c r="H40" s="590"/>
      <c r="I40" s="590"/>
      <c r="J40" s="590"/>
    </row>
    <row r="41" spans="1:10" ht="14.1" customHeight="1" x14ac:dyDescent="0.2">
      <c r="A41" s="222">
        <v>10</v>
      </c>
      <c r="B41" s="527" t="s">
        <v>929</v>
      </c>
      <c r="C41" s="528"/>
      <c r="D41" s="528"/>
      <c r="E41" s="528"/>
      <c r="F41" s="528"/>
      <c r="G41" s="528"/>
      <c r="H41" s="590"/>
      <c r="I41" s="590"/>
      <c r="J41" s="590"/>
    </row>
    <row r="42" spans="1:10" ht="14.1" customHeight="1" x14ac:dyDescent="0.2">
      <c r="A42" s="222">
        <v>11</v>
      </c>
      <c r="B42" s="527" t="s">
        <v>930</v>
      </c>
      <c r="C42" s="528"/>
      <c r="D42" s="528"/>
      <c r="E42" s="528"/>
      <c r="F42" s="528"/>
      <c r="G42" s="528"/>
      <c r="H42" s="590"/>
      <c r="I42" s="590"/>
      <c r="J42" s="590"/>
    </row>
    <row r="43" spans="1:10" ht="14.1" customHeight="1" x14ac:dyDescent="0.2">
      <c r="A43" s="223">
        <v>12</v>
      </c>
      <c r="B43" s="582" t="s">
        <v>931</v>
      </c>
      <c r="C43" s="583"/>
      <c r="D43" s="583"/>
      <c r="E43" s="583"/>
      <c r="F43" s="583"/>
      <c r="G43" s="583"/>
      <c r="H43" s="590"/>
      <c r="I43" s="590"/>
      <c r="J43" s="590"/>
    </row>
    <row r="44" spans="1:10" ht="14.1" customHeight="1" x14ac:dyDescent="0.2">
      <c r="A44" s="223">
        <v>13</v>
      </c>
      <c r="B44" s="582" t="s">
        <v>932</v>
      </c>
      <c r="C44" s="583"/>
      <c r="D44" s="583"/>
      <c r="E44" s="583"/>
      <c r="F44" s="583"/>
      <c r="G44" s="583"/>
      <c r="H44" s="590"/>
      <c r="I44" s="590"/>
      <c r="J44" s="590"/>
    </row>
    <row r="45" spans="1:10" ht="14.1" customHeight="1" x14ac:dyDescent="0.2">
      <c r="A45" s="223">
        <v>14</v>
      </c>
      <c r="B45" s="582" t="s">
        <v>933</v>
      </c>
      <c r="C45" s="583"/>
      <c r="D45" s="583"/>
      <c r="E45" s="583"/>
      <c r="F45" s="583"/>
      <c r="G45" s="583"/>
      <c r="H45" s="590"/>
      <c r="I45" s="590"/>
      <c r="J45" s="590"/>
    </row>
    <row r="46" spans="1:10" ht="14.1" customHeight="1" x14ac:dyDescent="0.2">
      <c r="A46" s="223">
        <v>15</v>
      </c>
      <c r="B46" s="582" t="s">
        <v>934</v>
      </c>
      <c r="C46" s="583"/>
      <c r="D46" s="583"/>
      <c r="E46" s="583"/>
      <c r="F46" s="583"/>
      <c r="G46" s="583"/>
      <c r="H46" s="590"/>
      <c r="I46" s="590"/>
      <c r="J46" s="590"/>
    </row>
    <row r="47" spans="1:10" ht="14.1" customHeight="1" x14ac:dyDescent="0.2">
      <c r="A47" s="224">
        <v>99</v>
      </c>
      <c r="B47" s="584" t="s">
        <v>1817</v>
      </c>
      <c r="C47" s="585"/>
      <c r="D47" s="585"/>
      <c r="E47" s="585"/>
      <c r="F47" s="585"/>
      <c r="G47" s="585"/>
      <c r="H47" s="591"/>
      <c r="I47" s="591"/>
      <c r="J47" s="591"/>
    </row>
    <row r="48" spans="1:10" ht="14.1" customHeight="1" x14ac:dyDescent="0.2">
      <c r="A48" s="116"/>
      <c r="B48" s="116"/>
      <c r="C48" s="116"/>
      <c r="D48" s="116"/>
      <c r="E48" s="116"/>
      <c r="F48" s="116"/>
      <c r="G48" s="116"/>
      <c r="H48" s="116"/>
      <c r="I48" s="116"/>
      <c r="J48" s="116"/>
    </row>
    <row r="49" spans="1:10" ht="15" customHeight="1" x14ac:dyDescent="0.2">
      <c r="A49" s="548" t="s">
        <v>802</v>
      </c>
      <c r="B49" s="549"/>
      <c r="C49" s="549"/>
      <c r="D49" s="549"/>
      <c r="E49" s="596"/>
      <c r="F49" s="596"/>
      <c r="G49" s="596"/>
      <c r="H49" s="596"/>
      <c r="I49" s="596"/>
      <c r="J49" s="597"/>
    </row>
    <row r="50" spans="1:10" ht="87" customHeight="1" x14ac:dyDescent="0.2">
      <c r="A50" s="598" t="s">
        <v>1926</v>
      </c>
      <c r="B50" s="599"/>
      <c r="C50" s="599"/>
      <c r="D50" s="599"/>
      <c r="E50" s="599"/>
      <c r="F50" s="599"/>
      <c r="G50" s="599"/>
      <c r="H50" s="599"/>
      <c r="I50" s="599"/>
      <c r="J50" s="600"/>
    </row>
    <row r="51" spans="1:10" ht="15" customHeight="1" x14ac:dyDescent="0.2">
      <c r="A51" s="601" t="s">
        <v>1739</v>
      </c>
      <c r="B51" s="602"/>
      <c r="C51" s="602"/>
      <c r="D51" s="602"/>
      <c r="E51" s="601" t="s">
        <v>2468</v>
      </c>
      <c r="F51" s="602"/>
      <c r="G51" s="602"/>
      <c r="H51" s="601" t="s">
        <v>2467</v>
      </c>
      <c r="I51" s="602"/>
      <c r="J51" s="603"/>
    </row>
    <row r="52" spans="1:10" ht="15" customHeight="1" x14ac:dyDescent="0.2">
      <c r="A52" s="592" t="s">
        <v>2465</v>
      </c>
      <c r="B52" s="593"/>
      <c r="C52" s="593"/>
      <c r="D52" s="593"/>
      <c r="E52" s="594" t="s">
        <v>799</v>
      </c>
      <c r="F52" s="595"/>
      <c r="G52" s="595"/>
      <c r="H52" s="594" t="s">
        <v>1740</v>
      </c>
      <c r="I52" s="595"/>
      <c r="J52" s="606"/>
    </row>
    <row r="53" spans="1:10" ht="15" customHeight="1" x14ac:dyDescent="0.2">
      <c r="A53" s="592" t="s">
        <v>2466</v>
      </c>
      <c r="B53" s="593"/>
      <c r="C53" s="593"/>
      <c r="D53" s="593"/>
      <c r="E53" s="594" t="s">
        <v>798</v>
      </c>
      <c r="F53" s="595"/>
      <c r="G53" s="595"/>
      <c r="H53" s="594" t="s">
        <v>1741</v>
      </c>
      <c r="I53" s="595"/>
      <c r="J53" s="606"/>
    </row>
    <row r="54" spans="1:10" ht="15" customHeight="1" x14ac:dyDescent="0.2">
      <c r="A54" s="592" t="s">
        <v>1738</v>
      </c>
      <c r="B54" s="593"/>
      <c r="C54" s="593"/>
      <c r="D54" s="593"/>
      <c r="E54" s="594" t="s">
        <v>801</v>
      </c>
      <c r="F54" s="595"/>
      <c r="G54" s="595"/>
      <c r="H54" s="594" t="s">
        <v>800</v>
      </c>
      <c r="I54" s="595"/>
      <c r="J54" s="606"/>
    </row>
    <row r="55" spans="1:10" ht="5.25" customHeight="1" x14ac:dyDescent="0.2">
      <c r="A55" s="39"/>
      <c r="B55" s="39"/>
      <c r="C55" s="39"/>
      <c r="D55" s="39"/>
      <c r="E55" s="39"/>
      <c r="F55" s="39"/>
      <c r="G55" s="39"/>
      <c r="H55" s="39"/>
      <c r="I55" s="39"/>
      <c r="J55" s="39"/>
    </row>
    <row r="56" spans="1:10" ht="15" hidden="1" customHeight="1" x14ac:dyDescent="0.2">
      <c r="A56" s="39"/>
      <c r="B56" s="39"/>
      <c r="C56" s="39"/>
      <c r="D56" s="39"/>
      <c r="E56" s="39"/>
      <c r="F56" s="39"/>
      <c r="G56" s="39"/>
      <c r="H56" s="39"/>
      <c r="I56" s="39"/>
      <c r="J56" s="39"/>
    </row>
    <row r="57" spans="1:10" ht="15" hidden="1" customHeight="1" x14ac:dyDescent="0.2">
      <c r="A57" s="39"/>
      <c r="B57" s="39"/>
      <c r="C57" s="39"/>
      <c r="D57" s="39"/>
      <c r="E57" s="39"/>
      <c r="F57" s="39"/>
      <c r="G57" s="39"/>
      <c r="H57" s="39"/>
      <c r="I57" s="39"/>
      <c r="J57" s="39"/>
    </row>
    <row r="58" spans="1:10" ht="15" hidden="1" customHeight="1" x14ac:dyDescent="0.2">
      <c r="A58" s="39"/>
      <c r="B58" s="39"/>
      <c r="C58" s="39"/>
      <c r="D58" s="39"/>
      <c r="E58" s="39"/>
      <c r="F58" s="39"/>
      <c r="G58" s="39"/>
      <c r="H58" s="39"/>
      <c r="I58" s="39"/>
      <c r="J58" s="39"/>
    </row>
    <row r="59" spans="1:10" ht="15" hidden="1" customHeight="1" x14ac:dyDescent="0.2">
      <c r="A59" s="39"/>
      <c r="B59" s="39"/>
      <c r="C59" s="39"/>
      <c r="D59" s="39"/>
      <c r="E59" s="39"/>
      <c r="F59" s="39"/>
      <c r="G59" s="39"/>
      <c r="H59" s="39"/>
      <c r="I59" s="39"/>
      <c r="J59" s="39"/>
    </row>
    <row r="60" spans="1:10" hidden="1" x14ac:dyDescent="0.2"/>
  </sheetData>
  <sheetProtection password="C79A" sheet="1" objects="1"/>
  <mergeCells count="58">
    <mergeCell ref="A54:D54"/>
    <mergeCell ref="H51:J51"/>
    <mergeCell ref="B38:G38"/>
    <mergeCell ref="B43:G43"/>
    <mergeCell ref="E53:G53"/>
    <mergeCell ref="E54:G54"/>
    <mergeCell ref="H52:J52"/>
    <mergeCell ref="A51:D51"/>
    <mergeCell ref="H53:J53"/>
    <mergeCell ref="H54:J54"/>
    <mergeCell ref="A52:D52"/>
    <mergeCell ref="A53:D53"/>
    <mergeCell ref="E52:G52"/>
    <mergeCell ref="A49:J49"/>
    <mergeCell ref="A50:J50"/>
    <mergeCell ref="E51:G51"/>
    <mergeCell ref="B45:G45"/>
    <mergeCell ref="B46:G46"/>
    <mergeCell ref="B47:G47"/>
    <mergeCell ref="H38:J47"/>
    <mergeCell ref="B39:G39"/>
    <mergeCell ref="B44:G44"/>
    <mergeCell ref="A3:J3"/>
    <mergeCell ref="A5:D5"/>
    <mergeCell ref="B6:D6"/>
    <mergeCell ref="A10:G10"/>
    <mergeCell ref="B7:D7"/>
    <mergeCell ref="B8:D8"/>
    <mergeCell ref="B21:J21"/>
    <mergeCell ref="B22:J22"/>
    <mergeCell ref="B23:J23"/>
    <mergeCell ref="H32:J37"/>
    <mergeCell ref="B29:J29"/>
    <mergeCell ref="B28:J28"/>
    <mergeCell ref="A31:J31"/>
    <mergeCell ref="B32:G32"/>
    <mergeCell ref="B33:G33"/>
    <mergeCell ref="B34:G34"/>
    <mergeCell ref="B11:G11"/>
    <mergeCell ref="B17:G17"/>
    <mergeCell ref="B18:G18"/>
    <mergeCell ref="B12:G12"/>
    <mergeCell ref="B13:G13"/>
    <mergeCell ref="B24:J24"/>
    <mergeCell ref="B14:G14"/>
    <mergeCell ref="B15:G15"/>
    <mergeCell ref="B16:G16"/>
    <mergeCell ref="A20:J20"/>
    <mergeCell ref="A1:B2"/>
    <mergeCell ref="B40:G40"/>
    <mergeCell ref="B41:G41"/>
    <mergeCell ref="B42:G42"/>
    <mergeCell ref="B35:G35"/>
    <mergeCell ref="B36:G36"/>
    <mergeCell ref="B37:G37"/>
    <mergeCell ref="B25:J25"/>
    <mergeCell ref="B26:J26"/>
    <mergeCell ref="B27:J27"/>
  </mergeCells>
  <phoneticPr fontId="5" type="noConversion"/>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5118110236220474" right="0.55118110236220474" top="0.78740157480314965" bottom="0.78740157480314965" header="0.59055118110236227" footer="0.59055118110236227"/>
  <pageSetup paperSize="9" scale="86"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pageSetUpPr fitToPage="1"/>
  </sheetPr>
  <dimension ref="A1:AL643"/>
  <sheetViews>
    <sheetView showGridLines="0" showRowColHeaders="0" tabSelected="1" workbookViewId="0">
      <pane ySplit="10" topLeftCell="A11" activePane="bottomLeft" state="frozen"/>
      <selection pane="bottomLeft" activeCell="A11" sqref="A11"/>
    </sheetView>
  </sheetViews>
  <sheetFormatPr defaultColWidth="0" defaultRowHeight="12.75" zeroHeight="1" x14ac:dyDescent="0.2"/>
  <cols>
    <col min="1" max="1" width="10.7109375" customWidth="1"/>
    <col min="2" max="5" width="7.7109375" customWidth="1"/>
    <col min="6" max="6" width="7.28515625" customWidth="1"/>
    <col min="7" max="7" width="8.7109375" customWidth="1"/>
    <col min="8" max="8" width="7.28515625" customWidth="1"/>
    <col min="9" max="9" width="7.7109375" customWidth="1"/>
    <col min="10" max="14" width="6.7109375" customWidth="1"/>
    <col min="15" max="15" width="0.85546875" customWidth="1"/>
    <col min="16" max="38" width="15.7109375" hidden="1" customWidth="1"/>
  </cols>
  <sheetData>
    <row r="1" spans="1:36" s="3" customFormat="1" ht="20.100000000000001" customHeight="1" x14ac:dyDescent="0.2">
      <c r="A1" s="312" t="s">
        <v>559</v>
      </c>
      <c r="B1" s="313"/>
      <c r="C1" s="126" t="s">
        <v>95</v>
      </c>
      <c r="D1" s="123" t="s">
        <v>560</v>
      </c>
      <c r="E1" s="123" t="s">
        <v>1410</v>
      </c>
      <c r="F1" s="144" t="s">
        <v>2177</v>
      </c>
      <c r="G1" s="123" t="s">
        <v>96</v>
      </c>
      <c r="H1" s="144" t="s">
        <v>97</v>
      </c>
      <c r="I1" s="123" t="s">
        <v>1411</v>
      </c>
      <c r="J1" s="124" t="s">
        <v>98</v>
      </c>
      <c r="M1" s="148">
        <f>IF(E5&lt;&gt;"", YEAR(E5), "")</f>
        <v>2009</v>
      </c>
      <c r="P1" s="39" t="s">
        <v>1895</v>
      </c>
      <c r="Q1" s="39" t="s">
        <v>1894</v>
      </c>
      <c r="R1" s="39" t="s">
        <v>1896</v>
      </c>
      <c r="S1" s="39" t="s">
        <v>1897</v>
      </c>
      <c r="T1" s="39" t="s">
        <v>73</v>
      </c>
      <c r="U1" s="39" t="s">
        <v>1762</v>
      </c>
      <c r="V1" s="39" t="s">
        <v>1898</v>
      </c>
      <c r="W1" s="39" t="s">
        <v>1899</v>
      </c>
      <c r="X1" s="39" t="s">
        <v>153</v>
      </c>
      <c r="Y1" s="39" t="s">
        <v>1900</v>
      </c>
      <c r="Z1" s="39" t="s">
        <v>1901</v>
      </c>
      <c r="AA1" s="39" t="s">
        <v>1903</v>
      </c>
      <c r="AB1" s="39" t="s">
        <v>1904</v>
      </c>
      <c r="AC1" s="39" t="s">
        <v>1906</v>
      </c>
      <c r="AD1" s="39" t="s">
        <v>1907</v>
      </c>
      <c r="AE1" s="39" t="s">
        <v>2410</v>
      </c>
      <c r="AF1" s="39" t="s">
        <v>2411</v>
      </c>
      <c r="AG1" s="39" t="s">
        <v>2413</v>
      </c>
      <c r="AH1" s="39" t="s">
        <v>2412</v>
      </c>
      <c r="AI1" s="39" t="s">
        <v>2414</v>
      </c>
      <c r="AJ1" s="39" t="s">
        <v>2416</v>
      </c>
    </row>
    <row r="2" spans="1:36" s="3" customFormat="1" ht="20.100000000000001" customHeight="1" x14ac:dyDescent="0.2">
      <c r="A2" s="314"/>
      <c r="B2" s="315"/>
      <c r="C2" s="127" t="s">
        <v>1114</v>
      </c>
      <c r="D2" s="128" t="s">
        <v>1413</v>
      </c>
      <c r="E2" s="128" t="s">
        <v>1115</v>
      </c>
      <c r="F2" s="128" t="s">
        <v>1412</v>
      </c>
      <c r="G2" s="128" t="s">
        <v>99</v>
      </c>
      <c r="H2" s="128" t="s">
        <v>1116</v>
      </c>
      <c r="I2" s="129" t="s">
        <v>100</v>
      </c>
      <c r="J2" s="125"/>
      <c r="M2" s="161">
        <f>IF(H5&lt;&gt;"",YEAR(H5),"")</f>
        <v>2009</v>
      </c>
      <c r="P2" s="72">
        <f>IF(E5&lt;&gt;"",YEAR(E5)/100+MONTH(E5)/2+DAY(E5),0)</f>
        <v>21.59</v>
      </c>
      <c r="Q2" s="72">
        <f>IF(H5&lt;&gt;"",YEAR(H5)/100+MONTH(H5)/2+DAY(H5),0)</f>
        <v>52.59</v>
      </c>
      <c r="R2" s="73">
        <f>INT(C17)</f>
        <v>11</v>
      </c>
      <c r="S2" s="217">
        <f>INT(C19)/10</f>
        <v>345408.8</v>
      </c>
      <c r="T2" s="74">
        <f>INT(C21)/50</f>
        <v>200130.98</v>
      </c>
      <c r="U2" s="74">
        <f>INT(C23)/100</f>
        <v>189285232.52000001</v>
      </c>
      <c r="V2" s="39">
        <f>LEN(Skriveni!B9)</f>
        <v>14</v>
      </c>
      <c r="W2" s="75">
        <f>INT(C27)/100</f>
        <v>480</v>
      </c>
      <c r="X2" s="39">
        <f>LEN(Skriveni!B11)</f>
        <v>10</v>
      </c>
      <c r="Y2" s="39">
        <f>LEN(Skriveni!B12)</f>
        <v>18</v>
      </c>
      <c r="Z2" s="75">
        <f>INT(C35)</f>
        <v>201</v>
      </c>
      <c r="AA2" s="74">
        <f>INT(C39)</f>
        <v>1039</v>
      </c>
      <c r="AB2" s="39">
        <f>IF(C41="DA", 1, 0)</f>
        <v>1</v>
      </c>
      <c r="AC2" s="39">
        <f>IF(C43="DA",1,0)</f>
        <v>0</v>
      </c>
      <c r="AD2" s="39">
        <f>INT(C45)</f>
        <v>2</v>
      </c>
      <c r="AE2" s="39">
        <f>INT(C47)</f>
        <v>3</v>
      </c>
      <c r="AF2" s="39">
        <f>INT(C49)</f>
        <v>41</v>
      </c>
      <c r="AG2" s="39">
        <f>C51*2+E51</f>
        <v>178</v>
      </c>
      <c r="AH2" s="39">
        <f>C53+2*E53+3*C55+4*E55</f>
        <v>65805</v>
      </c>
      <c r="AI2" s="39">
        <f>C57*2+E57</f>
        <v>9</v>
      </c>
      <c r="AJ2" s="39">
        <f>LEN(Skriveni!B43)</f>
        <v>14</v>
      </c>
    </row>
    <row r="3" spans="1:36" s="3" customFormat="1" ht="60" customHeight="1" x14ac:dyDescent="0.2">
      <c r="A3" s="303" t="s">
        <v>2556</v>
      </c>
      <c r="B3" s="304"/>
      <c r="C3" s="304"/>
      <c r="D3" s="304"/>
      <c r="E3" s="304"/>
      <c r="F3" s="304"/>
      <c r="G3" s="304"/>
      <c r="H3" s="304"/>
      <c r="I3" s="304"/>
      <c r="J3" s="304"/>
      <c r="K3" s="304"/>
      <c r="L3" s="304"/>
      <c r="M3" s="304"/>
      <c r="N3" s="305"/>
    </row>
    <row r="4" spans="1:36" s="3" customFormat="1" ht="5.0999999999999996" customHeight="1" x14ac:dyDescent="0.2">
      <c r="A4" s="168"/>
      <c r="B4" s="169"/>
      <c r="C4" s="170"/>
      <c r="D4" s="169"/>
      <c r="E4" s="170"/>
      <c r="F4" s="170"/>
      <c r="G4" s="170"/>
      <c r="H4" s="170"/>
      <c r="I4" s="170"/>
      <c r="J4" s="170"/>
      <c r="K4" s="169"/>
      <c r="L4" s="169"/>
      <c r="M4" s="169"/>
      <c r="N4" s="169"/>
    </row>
    <row r="5" spans="1:36" s="3" customFormat="1" ht="15" customHeight="1" x14ac:dyDescent="0.2">
      <c r="A5" s="306" t="s">
        <v>1655</v>
      </c>
      <c r="B5" s="307"/>
      <c r="C5" s="307"/>
      <c r="D5" s="308"/>
      <c r="E5" s="316">
        <v>39814</v>
      </c>
      <c r="F5" s="317"/>
      <c r="G5" s="171" t="s">
        <v>1542</v>
      </c>
      <c r="H5" s="316">
        <v>39903</v>
      </c>
      <c r="I5" s="317"/>
      <c r="J5" s="301" t="s">
        <v>2512</v>
      </c>
      <c r="K5" s="302"/>
      <c r="L5" s="302"/>
      <c r="M5" s="302"/>
      <c r="N5" s="302"/>
    </row>
    <row r="6" spans="1:36" s="3" customFormat="1" ht="5.0999999999999996" customHeight="1" x14ac:dyDescent="0.2">
      <c r="A6" s="82"/>
      <c r="B6" s="82"/>
      <c r="C6" s="82"/>
      <c r="D6" s="82"/>
      <c r="E6" s="172"/>
      <c r="F6" s="172"/>
      <c r="G6" s="82"/>
      <c r="H6" s="82"/>
      <c r="I6" s="82"/>
      <c r="J6" s="302"/>
      <c r="K6" s="302"/>
      <c r="L6" s="302"/>
      <c r="M6" s="302"/>
      <c r="N6" s="302"/>
    </row>
    <row r="7" spans="1:36" s="3" customFormat="1" ht="5.0999999999999996" customHeight="1" x14ac:dyDescent="0.2">
      <c r="A7" s="173"/>
      <c r="B7" s="82"/>
      <c r="C7" s="82"/>
      <c r="D7" s="82"/>
      <c r="E7" s="82"/>
      <c r="F7" s="82"/>
      <c r="G7" s="82"/>
      <c r="H7" s="82"/>
      <c r="I7" s="82"/>
      <c r="J7" s="302"/>
      <c r="K7" s="302"/>
      <c r="L7" s="302"/>
      <c r="M7" s="302"/>
      <c r="N7" s="302"/>
    </row>
    <row r="8" spans="1:36" s="3" customFormat="1" ht="5.0999999999999996" customHeight="1" x14ac:dyDescent="0.2">
      <c r="A8" s="174"/>
      <c r="B8" s="175"/>
      <c r="C8" s="175"/>
      <c r="D8" s="175"/>
      <c r="E8" s="172"/>
      <c r="F8" s="172"/>
      <c r="G8" s="172"/>
      <c r="H8" s="172"/>
      <c r="I8" s="172"/>
      <c r="J8" s="172"/>
      <c r="K8" s="176"/>
      <c r="L8" s="176"/>
      <c r="M8" s="176"/>
      <c r="N8" s="176"/>
    </row>
    <row r="9" spans="1:36" s="3" customFormat="1" ht="15" customHeight="1" x14ac:dyDescent="0.2">
      <c r="A9" s="175"/>
      <c r="B9" s="176"/>
      <c r="C9" s="82"/>
      <c r="D9" s="174" t="s">
        <v>1541</v>
      </c>
      <c r="E9" s="210">
        <v>4</v>
      </c>
      <c r="F9" s="318" t="str">
        <f>IF(E9&lt;&gt;""," " &amp; LOOKUP(E9,AB29:AB44,AC29:AC44),"")</f>
        <v xml:space="preserve"> Dioničko društvo</v>
      </c>
      <c r="G9" s="319"/>
      <c r="H9" s="319"/>
      <c r="I9" s="319"/>
      <c r="J9" s="319"/>
      <c r="K9" s="319"/>
      <c r="L9" s="319"/>
      <c r="M9" s="319"/>
      <c r="N9" s="319"/>
    </row>
    <row r="10" spans="1:36" ht="5.0999999999999996" customHeight="1" x14ac:dyDescent="0.2">
      <c r="A10" s="177"/>
      <c r="B10" s="177"/>
      <c r="C10" s="177"/>
      <c r="D10" s="177"/>
      <c r="E10" s="178"/>
      <c r="F10" s="179"/>
      <c r="G10" s="180"/>
      <c r="H10" s="181"/>
      <c r="I10" s="181"/>
      <c r="J10" s="181"/>
      <c r="K10" s="181"/>
      <c r="L10" s="181"/>
      <c r="M10" s="181"/>
      <c r="N10" s="181"/>
      <c r="O10" s="30"/>
    </row>
    <row r="11" spans="1:36" ht="15" x14ac:dyDescent="0.2">
      <c r="A11" s="116"/>
      <c r="B11" s="116"/>
      <c r="C11" s="116"/>
      <c r="D11" s="116"/>
      <c r="E11" s="182"/>
      <c r="F11" s="183"/>
      <c r="G11" s="184"/>
      <c r="H11" s="116"/>
      <c r="I11" s="116"/>
      <c r="J11" s="116"/>
      <c r="K11" s="116"/>
      <c r="L11" s="116"/>
      <c r="M11" s="116"/>
      <c r="N11" s="175"/>
    </row>
    <row r="12" spans="1:36" ht="23.25" customHeight="1" x14ac:dyDescent="0.2">
      <c r="A12" s="185" t="s">
        <v>2428</v>
      </c>
      <c r="B12" s="186"/>
      <c r="C12" s="186"/>
      <c r="D12" s="186"/>
      <c r="E12" s="182"/>
      <c r="F12" s="183"/>
      <c r="G12" s="184"/>
      <c r="H12" s="116"/>
      <c r="I12" s="116"/>
      <c r="J12" s="116"/>
      <c r="K12" s="320" t="s">
        <v>827</v>
      </c>
      <c r="L12" s="321"/>
      <c r="M12" s="321"/>
      <c r="N12" s="321"/>
    </row>
    <row r="13" spans="1:36" ht="40.5" customHeight="1" x14ac:dyDescent="0.2">
      <c r="A13" s="310" t="s">
        <v>1543</v>
      </c>
      <c r="B13" s="311"/>
      <c r="C13" s="311"/>
      <c r="D13" s="311"/>
      <c r="E13" s="311"/>
      <c r="F13" s="311"/>
      <c r="G13" s="311"/>
      <c r="H13" s="311"/>
      <c r="I13" s="311"/>
      <c r="J13" s="311"/>
      <c r="K13" s="311"/>
      <c r="L13" s="311"/>
      <c r="M13" s="311"/>
      <c r="N13" s="311"/>
    </row>
    <row r="14" spans="1:36" ht="17.25" customHeight="1" x14ac:dyDescent="0.2">
      <c r="A14" s="116"/>
      <c r="B14" s="187"/>
      <c r="C14" s="187"/>
      <c r="D14" s="187"/>
      <c r="E14" s="188"/>
      <c r="F14" s="189" t="s">
        <v>374</v>
      </c>
      <c r="G14" s="211">
        <v>2009</v>
      </c>
      <c r="H14" s="322" t="s">
        <v>935</v>
      </c>
      <c r="I14" s="323"/>
      <c r="J14" s="323"/>
      <c r="K14" s="116"/>
      <c r="L14" s="187"/>
      <c r="M14" s="187"/>
      <c r="N14" s="187"/>
    </row>
    <row r="15" spans="1:36" ht="20.100000000000001" customHeight="1" x14ac:dyDescent="0.2">
      <c r="A15" s="273">
        <f>SUM(Skriveni!H2:H386)+SUM(P2:AJ2)+SUM(Skriveni!AC2:AC101)</f>
        <v>81189759177.479996</v>
      </c>
      <c r="B15" s="274"/>
      <c r="C15" s="275"/>
      <c r="D15" s="190"/>
      <c r="E15" s="191"/>
      <c r="F15" s="282"/>
      <c r="G15" s="283"/>
      <c r="H15" s="283"/>
      <c r="I15" s="116"/>
      <c r="J15" s="116"/>
      <c r="K15" s="116"/>
      <c r="L15" s="116"/>
      <c r="M15" s="116"/>
      <c r="N15" s="116"/>
    </row>
    <row r="16" spans="1:36" ht="20.100000000000001" customHeight="1" x14ac:dyDescent="0.2">
      <c r="A16" s="284" t="s">
        <v>1752</v>
      </c>
      <c r="B16" s="284"/>
      <c r="C16" s="284"/>
      <c r="D16" s="50"/>
      <c r="E16" s="50"/>
      <c r="F16" s="50"/>
      <c r="G16" s="50"/>
      <c r="H16" s="50"/>
      <c r="I16" s="50"/>
      <c r="J16" s="116"/>
      <c r="K16" s="116"/>
      <c r="L16" s="116"/>
      <c r="M16" s="116"/>
      <c r="N16" s="116"/>
    </row>
    <row r="17" spans="1:33" ht="15" customHeight="1" x14ac:dyDescent="0.2">
      <c r="A17" s="246" t="s">
        <v>223</v>
      </c>
      <c r="B17" s="247"/>
      <c r="C17" s="212">
        <v>11</v>
      </c>
      <c r="D17" s="116"/>
      <c r="E17" s="276" t="str">
        <f>IF(C17&lt;&gt;"",LOOKUP(C17,Sifre!A21:A29,Sifre!B21:B29),"Vrsta izvještaja još nije odabrana")</f>
        <v>Izvještaj kojeg ispunjava obveznik kome se poslovna godina razlikuje od kalendarske.</v>
      </c>
      <c r="F17" s="252"/>
      <c r="G17" s="252"/>
      <c r="H17" s="252"/>
      <c r="I17" s="252"/>
      <c r="J17" s="50"/>
      <c r="K17" s="50"/>
      <c r="L17" s="50"/>
      <c r="M17" s="50"/>
      <c r="N17" s="50"/>
      <c r="P17" s="37">
        <v>10</v>
      </c>
    </row>
    <row r="18" spans="1:33" ht="5.0999999999999996" customHeight="1" x14ac:dyDescent="0.2">
      <c r="A18" s="116"/>
      <c r="B18" s="116"/>
      <c r="C18" s="50"/>
      <c r="D18" s="147"/>
      <c r="E18" s="252"/>
      <c r="F18" s="252"/>
      <c r="G18" s="252"/>
      <c r="H18" s="252"/>
      <c r="I18" s="252"/>
      <c r="J18" s="277" t="s">
        <v>1366</v>
      </c>
      <c r="K18" s="252"/>
      <c r="L18" s="252"/>
      <c r="M18" s="252"/>
      <c r="N18" s="252"/>
      <c r="P18" s="37">
        <v>11</v>
      </c>
    </row>
    <row r="19" spans="1:33" ht="15" customHeight="1" x14ac:dyDescent="0.2">
      <c r="A19" s="246" t="s">
        <v>2641</v>
      </c>
      <c r="B19" s="247"/>
      <c r="C19" s="240" t="s">
        <v>490</v>
      </c>
      <c r="D19" s="241"/>
      <c r="E19" s="252"/>
      <c r="F19" s="252"/>
      <c r="G19" s="252"/>
      <c r="H19" s="252"/>
      <c r="I19" s="252"/>
      <c r="J19" s="252"/>
      <c r="K19" s="252"/>
      <c r="L19" s="252"/>
      <c r="M19" s="252"/>
      <c r="N19" s="252"/>
      <c r="P19" s="37">
        <v>20</v>
      </c>
    </row>
    <row r="20" spans="1:33" ht="8.1" customHeight="1" x14ac:dyDescent="0.2">
      <c r="A20" s="116"/>
      <c r="B20" s="116"/>
      <c r="C20" s="50"/>
      <c r="D20" s="50"/>
      <c r="E20" s="252"/>
      <c r="F20" s="252"/>
      <c r="G20" s="252"/>
      <c r="H20" s="252"/>
      <c r="I20" s="252"/>
      <c r="J20" s="252"/>
      <c r="K20" s="252"/>
      <c r="L20" s="252"/>
      <c r="M20" s="252"/>
      <c r="N20" s="252"/>
      <c r="P20" s="37">
        <v>21</v>
      </c>
    </row>
    <row r="21" spans="1:33" ht="15" customHeight="1" x14ac:dyDescent="0.2">
      <c r="A21" s="278" t="s">
        <v>2642</v>
      </c>
      <c r="B21" s="279"/>
      <c r="C21" s="240" t="s">
        <v>747</v>
      </c>
      <c r="D21" s="241"/>
      <c r="E21" s="252"/>
      <c r="F21" s="252"/>
      <c r="G21" s="252"/>
      <c r="H21" s="252"/>
      <c r="I21" s="252"/>
      <c r="J21" s="116"/>
      <c r="K21" s="116"/>
      <c r="L21" s="116"/>
      <c r="M21" s="116"/>
      <c r="N21" s="116"/>
      <c r="P21" s="37">
        <v>30</v>
      </c>
    </row>
    <row r="22" spans="1:33" ht="8.1" customHeight="1" x14ac:dyDescent="0.2">
      <c r="A22" s="167"/>
      <c r="B22" s="167"/>
      <c r="C22" s="193"/>
      <c r="D22" s="50"/>
      <c r="E22" s="50"/>
      <c r="F22" s="244" t="str">
        <f>IF(AND(LEN(C19)&gt;0,S2=0),"Ova Excel datoteka ima isključen automatski izračun formula ili otvorena je u Open Office-u ili nekom drugom alatu koji ne podržava sve funkcionalnosti Excel-a. Pročitajte dio uputa koji se odnosi na mogućnosti rada u OpenOffice-u.", "")</f>
        <v/>
      </c>
      <c r="G22" s="245"/>
      <c r="H22" s="245"/>
      <c r="I22" s="245"/>
      <c r="J22" s="245"/>
      <c r="K22" s="245"/>
      <c r="L22" s="245"/>
      <c r="M22" s="245"/>
      <c r="N22" s="245"/>
      <c r="P22" s="37">
        <v>31</v>
      </c>
    </row>
    <row r="23" spans="1:33" ht="15" customHeight="1" x14ac:dyDescent="0.2">
      <c r="A23" s="278" t="s">
        <v>1908</v>
      </c>
      <c r="B23" s="285"/>
      <c r="C23" s="240" t="s">
        <v>748</v>
      </c>
      <c r="D23" s="241"/>
      <c r="E23" s="50"/>
      <c r="F23" s="245"/>
      <c r="G23" s="245"/>
      <c r="H23" s="245"/>
      <c r="I23" s="245"/>
      <c r="J23" s="245"/>
      <c r="K23" s="245"/>
      <c r="L23" s="245"/>
      <c r="M23" s="245"/>
      <c r="N23" s="245"/>
      <c r="P23" s="37">
        <v>32</v>
      </c>
    </row>
    <row r="24" spans="1:33" ht="8.1" customHeight="1" x14ac:dyDescent="0.2">
      <c r="A24" s="286"/>
      <c r="B24" s="286"/>
      <c r="C24" s="50"/>
      <c r="D24" s="50"/>
      <c r="E24" s="50"/>
      <c r="F24" s="245"/>
      <c r="G24" s="245"/>
      <c r="H24" s="245"/>
      <c r="I24" s="245"/>
      <c r="J24" s="245"/>
      <c r="K24" s="245"/>
      <c r="L24" s="245"/>
      <c r="M24" s="245"/>
      <c r="N24" s="245"/>
      <c r="P24" s="37">
        <v>40</v>
      </c>
    </row>
    <row r="25" spans="1:33" ht="15" customHeight="1" x14ac:dyDescent="0.2">
      <c r="A25" s="246" t="s">
        <v>1753</v>
      </c>
      <c r="B25" s="247"/>
      <c r="C25" s="237" t="s">
        <v>964</v>
      </c>
      <c r="D25" s="238"/>
      <c r="E25" s="238"/>
      <c r="F25" s="238"/>
      <c r="G25" s="238"/>
      <c r="H25" s="238"/>
      <c r="I25" s="238"/>
      <c r="J25" s="238"/>
      <c r="K25" s="238"/>
      <c r="L25" s="239"/>
      <c r="M25" s="50"/>
      <c r="N25" s="50"/>
      <c r="P25" s="37">
        <v>50</v>
      </c>
    </row>
    <row r="26" spans="1:33" ht="8.1" customHeight="1" x14ac:dyDescent="0.2">
      <c r="A26" s="116"/>
      <c r="B26" s="116"/>
      <c r="C26" s="194"/>
      <c r="D26" s="50"/>
      <c r="E26" s="50"/>
      <c r="F26" s="50"/>
      <c r="G26" s="50"/>
      <c r="H26" s="50"/>
      <c r="I26" s="50"/>
      <c r="J26" s="50"/>
      <c r="K26" s="50"/>
      <c r="L26" s="50"/>
      <c r="M26" s="50"/>
      <c r="N26" s="50"/>
    </row>
    <row r="27" spans="1:33" ht="15" customHeight="1" x14ac:dyDescent="0.2">
      <c r="A27" s="246" t="s">
        <v>201</v>
      </c>
      <c r="B27" s="247"/>
      <c r="C27" s="242">
        <v>48000</v>
      </c>
      <c r="D27" s="243"/>
      <c r="E27" s="50"/>
      <c r="F27" s="237" t="s">
        <v>2039</v>
      </c>
      <c r="G27" s="238"/>
      <c r="H27" s="238"/>
      <c r="I27" s="238"/>
      <c r="J27" s="238"/>
      <c r="K27" s="238"/>
      <c r="L27" s="239"/>
      <c r="M27" s="50"/>
      <c r="N27" s="50"/>
    </row>
    <row r="28" spans="1:33" ht="8.1" customHeight="1" x14ac:dyDescent="0.2">
      <c r="A28" s="116"/>
      <c r="B28" s="116"/>
      <c r="C28" s="50"/>
      <c r="D28" s="50"/>
      <c r="E28" s="50"/>
      <c r="F28" s="50"/>
      <c r="G28" s="50"/>
      <c r="H28" s="50"/>
      <c r="I28" s="50"/>
      <c r="J28" s="50"/>
      <c r="K28" s="50"/>
      <c r="L28" s="50"/>
      <c r="M28" s="50"/>
      <c r="N28" s="50"/>
      <c r="P28" s="52" t="s">
        <v>2475</v>
      </c>
      <c r="Q28" t="s">
        <v>2476</v>
      </c>
      <c r="R28" t="s">
        <v>2477</v>
      </c>
      <c r="T28" t="s">
        <v>2477</v>
      </c>
      <c r="U28" t="s">
        <v>2478</v>
      </c>
      <c r="Z28" t="s">
        <v>1877</v>
      </c>
      <c r="AB28" s="52" t="s">
        <v>1877</v>
      </c>
      <c r="AC28" t="s">
        <v>82</v>
      </c>
      <c r="AF28" t="s">
        <v>1732</v>
      </c>
      <c r="AG28" t="s">
        <v>1733</v>
      </c>
    </row>
    <row r="29" spans="1:33" ht="15" customHeight="1" x14ac:dyDescent="0.2">
      <c r="A29" s="246" t="s">
        <v>202</v>
      </c>
      <c r="B29" s="247"/>
      <c r="C29" s="237" t="s">
        <v>2040</v>
      </c>
      <c r="D29" s="238"/>
      <c r="E29" s="238"/>
      <c r="F29" s="238"/>
      <c r="G29" s="238"/>
      <c r="H29" s="238"/>
      <c r="I29" s="238"/>
      <c r="J29" s="238"/>
      <c r="K29" s="238"/>
      <c r="L29" s="239"/>
      <c r="M29" s="50"/>
      <c r="N29" s="50"/>
      <c r="P29">
        <v>1</v>
      </c>
      <c r="Q29" t="s">
        <v>1193</v>
      </c>
      <c r="R29">
        <v>16</v>
      </c>
      <c r="T29">
        <v>1</v>
      </c>
      <c r="U29" t="s">
        <v>2479</v>
      </c>
      <c r="Z29" s="27" t="s">
        <v>704</v>
      </c>
      <c r="AB29">
        <v>1</v>
      </c>
      <c r="AC29" t="s">
        <v>922</v>
      </c>
      <c r="AD29">
        <v>1</v>
      </c>
      <c r="AF29">
        <v>11</v>
      </c>
      <c r="AG29" t="s">
        <v>215</v>
      </c>
    </row>
    <row r="30" spans="1:33" ht="8.1" customHeight="1" x14ac:dyDescent="0.2">
      <c r="A30" s="116"/>
      <c r="B30" s="116"/>
      <c r="C30" s="50"/>
      <c r="D30" s="50"/>
      <c r="E30" s="50"/>
      <c r="F30" s="50"/>
      <c r="G30" s="50"/>
      <c r="H30" s="50"/>
      <c r="I30" s="50"/>
      <c r="J30" s="50"/>
      <c r="K30" s="50"/>
      <c r="L30" s="50"/>
      <c r="M30" s="50"/>
      <c r="N30" s="50"/>
      <c r="P30">
        <v>2</v>
      </c>
      <c r="Q30" t="s">
        <v>1196</v>
      </c>
      <c r="R30">
        <v>14</v>
      </c>
      <c r="T30">
        <v>2</v>
      </c>
      <c r="U30" t="s">
        <v>2480</v>
      </c>
      <c r="Z30" s="27" t="s">
        <v>706</v>
      </c>
      <c r="AB30">
        <v>2</v>
      </c>
      <c r="AC30" t="s">
        <v>923</v>
      </c>
      <c r="AD30">
        <v>2</v>
      </c>
      <c r="AF30">
        <v>12</v>
      </c>
      <c r="AG30" t="s">
        <v>216</v>
      </c>
    </row>
    <row r="31" spans="1:33" ht="15" customHeight="1" x14ac:dyDescent="0.2">
      <c r="A31" s="246" t="s">
        <v>203</v>
      </c>
      <c r="B31" s="247"/>
      <c r="C31" s="248" t="s">
        <v>2043</v>
      </c>
      <c r="D31" s="249"/>
      <c r="E31" s="249"/>
      <c r="F31" s="249"/>
      <c r="G31" s="249"/>
      <c r="H31" s="249"/>
      <c r="I31" s="249"/>
      <c r="J31" s="250"/>
      <c r="K31" s="50"/>
      <c r="L31" s="50"/>
      <c r="M31" s="50"/>
      <c r="N31" s="50"/>
      <c r="P31">
        <v>3</v>
      </c>
      <c r="Q31" t="s">
        <v>1199</v>
      </c>
      <c r="R31">
        <v>16</v>
      </c>
      <c r="T31">
        <v>3</v>
      </c>
      <c r="U31" t="s">
        <v>2481</v>
      </c>
      <c r="Z31" s="27" t="s">
        <v>708</v>
      </c>
      <c r="AB31">
        <v>3</v>
      </c>
      <c r="AC31" t="s">
        <v>924</v>
      </c>
      <c r="AD31">
        <v>3</v>
      </c>
      <c r="AF31">
        <v>13</v>
      </c>
      <c r="AG31" t="s">
        <v>217</v>
      </c>
    </row>
    <row r="32" spans="1:33" ht="8.1" customHeight="1" x14ac:dyDescent="0.2">
      <c r="A32" s="116"/>
      <c r="B32" s="116"/>
      <c r="C32" s="194"/>
      <c r="D32" s="50"/>
      <c r="E32" s="50"/>
      <c r="F32" s="50"/>
      <c r="G32" s="50"/>
      <c r="H32" s="50"/>
      <c r="I32" s="50"/>
      <c r="J32" s="50"/>
      <c r="K32" s="50"/>
      <c r="L32" s="50"/>
      <c r="M32" s="50"/>
      <c r="N32" s="50"/>
      <c r="P32">
        <v>4</v>
      </c>
      <c r="Q32" t="s">
        <v>1845</v>
      </c>
      <c r="R32">
        <v>8</v>
      </c>
      <c r="T32">
        <v>4</v>
      </c>
      <c r="U32" t="s">
        <v>2482</v>
      </c>
      <c r="Z32" s="27" t="s">
        <v>710</v>
      </c>
      <c r="AB32">
        <v>4</v>
      </c>
      <c r="AC32" t="s">
        <v>925</v>
      </c>
      <c r="AD32">
        <v>4</v>
      </c>
      <c r="AF32">
        <v>21</v>
      </c>
      <c r="AG32" t="s">
        <v>218</v>
      </c>
    </row>
    <row r="33" spans="1:33" ht="15" customHeight="1" x14ac:dyDescent="0.2">
      <c r="A33" s="246" t="s">
        <v>204</v>
      </c>
      <c r="B33" s="247"/>
      <c r="C33" s="248" t="s">
        <v>2041</v>
      </c>
      <c r="D33" s="249"/>
      <c r="E33" s="249"/>
      <c r="F33" s="249"/>
      <c r="G33" s="249"/>
      <c r="H33" s="249"/>
      <c r="I33" s="249"/>
      <c r="J33" s="250"/>
      <c r="K33" s="50"/>
      <c r="L33" s="116"/>
      <c r="M33" s="116"/>
      <c r="N33" s="116"/>
      <c r="P33">
        <v>5</v>
      </c>
      <c r="Q33" t="s">
        <v>1848</v>
      </c>
      <c r="R33">
        <v>18</v>
      </c>
      <c r="T33">
        <v>5</v>
      </c>
      <c r="U33" t="s">
        <v>2483</v>
      </c>
      <c r="Z33" s="27" t="s">
        <v>712</v>
      </c>
      <c r="AB33">
        <v>5</v>
      </c>
      <c r="AC33" t="s">
        <v>926</v>
      </c>
      <c r="AD33">
        <v>5</v>
      </c>
      <c r="AF33">
        <v>22</v>
      </c>
      <c r="AG33" t="s">
        <v>219</v>
      </c>
    </row>
    <row r="34" spans="1:33" ht="8.1" customHeight="1" x14ac:dyDescent="0.2">
      <c r="A34" s="116"/>
      <c r="B34" s="116"/>
      <c r="C34" s="194"/>
      <c r="D34" s="50"/>
      <c r="E34" s="50"/>
      <c r="F34" s="50"/>
      <c r="G34" s="50"/>
      <c r="H34" s="50"/>
      <c r="I34" s="50"/>
      <c r="J34" s="50"/>
      <c r="K34" s="50"/>
      <c r="L34" s="50"/>
      <c r="M34" s="50"/>
      <c r="N34" s="50"/>
      <c r="P34">
        <v>6</v>
      </c>
      <c r="Q34" t="s">
        <v>1851</v>
      </c>
      <c r="R34">
        <v>18</v>
      </c>
      <c r="T34">
        <v>6</v>
      </c>
      <c r="U34" t="s">
        <v>2484</v>
      </c>
      <c r="Z34" s="27" t="s">
        <v>714</v>
      </c>
      <c r="AB34">
        <v>6</v>
      </c>
      <c r="AC34" t="s">
        <v>927</v>
      </c>
      <c r="AD34">
        <v>6</v>
      </c>
      <c r="AF34">
        <v>31</v>
      </c>
      <c r="AG34" t="s">
        <v>220</v>
      </c>
    </row>
    <row r="35" spans="1:33" ht="15" customHeight="1" x14ac:dyDescent="0.2">
      <c r="A35" s="246" t="s">
        <v>206</v>
      </c>
      <c r="B35" s="247"/>
      <c r="C35" s="213">
        <v>201</v>
      </c>
      <c r="D35" s="253" t="str">
        <f>IF(C35&lt;&gt;"",LOOKUP(C35,P29:P584,Q29:Q584),"Nije upisana općina!")</f>
        <v>Koprivnica</v>
      </c>
      <c r="E35" s="254"/>
      <c r="F35" s="254"/>
      <c r="G35" s="254"/>
      <c r="H35" s="50"/>
      <c r="I35" s="116"/>
      <c r="J35" s="116"/>
      <c r="K35" s="116"/>
      <c r="L35" s="116"/>
      <c r="M35" s="116"/>
      <c r="N35" s="116"/>
      <c r="P35">
        <v>7</v>
      </c>
      <c r="Q35" t="s">
        <v>1854</v>
      </c>
      <c r="R35">
        <v>4</v>
      </c>
      <c r="T35">
        <v>7</v>
      </c>
      <c r="U35" t="s">
        <v>2485</v>
      </c>
      <c r="Z35" s="27" t="s">
        <v>716</v>
      </c>
      <c r="AB35">
        <v>7</v>
      </c>
      <c r="AC35" t="s">
        <v>2059</v>
      </c>
      <c r="AD35">
        <v>7</v>
      </c>
      <c r="AF35">
        <v>41</v>
      </c>
      <c r="AG35" t="s">
        <v>221</v>
      </c>
    </row>
    <row r="36" spans="1:33" ht="8.1" customHeight="1" x14ac:dyDescent="0.2">
      <c r="A36" s="116"/>
      <c r="B36" s="116"/>
      <c r="C36" s="50"/>
      <c r="D36" s="50"/>
      <c r="E36" s="50"/>
      <c r="F36" s="50"/>
      <c r="G36" s="50"/>
      <c r="H36" s="50"/>
      <c r="I36" s="116"/>
      <c r="J36" s="116"/>
      <c r="K36" s="116"/>
      <c r="L36" s="116"/>
      <c r="M36" s="116"/>
      <c r="N36" s="116"/>
      <c r="P36">
        <v>8</v>
      </c>
      <c r="Q36" t="s">
        <v>1857</v>
      </c>
      <c r="R36">
        <v>8</v>
      </c>
      <c r="T36">
        <v>8</v>
      </c>
      <c r="U36" t="s">
        <v>2486</v>
      </c>
      <c r="Z36" s="27" t="s">
        <v>718</v>
      </c>
      <c r="AB36">
        <v>8</v>
      </c>
      <c r="AC36" t="s">
        <v>1816</v>
      </c>
      <c r="AD36">
        <v>8</v>
      </c>
      <c r="AF36">
        <v>42</v>
      </c>
      <c r="AG36" t="s">
        <v>222</v>
      </c>
    </row>
    <row r="37" spans="1:33" ht="15" customHeight="1" x14ac:dyDescent="0.2">
      <c r="A37" s="246" t="s">
        <v>205</v>
      </c>
      <c r="B37" s="247"/>
      <c r="C37" s="195">
        <f>IF(C35&lt;&gt;"",LOOKUP(C35,P29:P584,R29:R584),"")</f>
        <v>6</v>
      </c>
      <c r="D37" s="253" t="str">
        <f>IF(C37&lt;&gt;"",LOOKUP(C37,T29:T49,U29:U49),"")</f>
        <v>KOPRIVNIČKO-KRIŽEVAČKA</v>
      </c>
      <c r="E37" s="254"/>
      <c r="F37" s="254"/>
      <c r="G37" s="254"/>
      <c r="H37" s="309" t="s">
        <v>2474</v>
      </c>
      <c r="I37" s="272"/>
      <c r="J37" s="272"/>
      <c r="K37" s="116"/>
      <c r="L37" s="50"/>
      <c r="M37" s="50"/>
      <c r="N37" s="116"/>
      <c r="P37">
        <v>9</v>
      </c>
      <c r="Q37" t="s">
        <v>1860</v>
      </c>
      <c r="R37">
        <v>17</v>
      </c>
      <c r="T37">
        <v>9</v>
      </c>
      <c r="U37" t="s">
        <v>2487</v>
      </c>
      <c r="Z37" s="27" t="s">
        <v>720</v>
      </c>
      <c r="AB37">
        <v>9</v>
      </c>
      <c r="AC37" t="s">
        <v>928</v>
      </c>
      <c r="AD37">
        <v>9</v>
      </c>
    </row>
    <row r="38" spans="1:33" ht="8.1" customHeight="1" x14ac:dyDescent="0.2">
      <c r="A38" s="116"/>
      <c r="B38" s="116"/>
      <c r="C38" s="50"/>
      <c r="D38" s="50"/>
      <c r="E38" s="50"/>
      <c r="F38" s="50"/>
      <c r="G38" s="50"/>
      <c r="H38" s="50"/>
      <c r="I38" s="50"/>
      <c r="J38" s="50"/>
      <c r="K38" s="50"/>
      <c r="L38" s="50"/>
      <c r="M38" s="50"/>
      <c r="N38" s="116"/>
      <c r="P38">
        <v>10</v>
      </c>
      <c r="Q38" t="s">
        <v>1863</v>
      </c>
      <c r="R38">
        <v>12</v>
      </c>
      <c r="T38">
        <v>10</v>
      </c>
      <c r="U38" t="s">
        <v>2488</v>
      </c>
      <c r="Z38" s="27" t="s">
        <v>722</v>
      </c>
      <c r="AB38">
        <v>10</v>
      </c>
      <c r="AC38" t="s">
        <v>929</v>
      </c>
      <c r="AD38">
        <v>10</v>
      </c>
    </row>
    <row r="39" spans="1:33" ht="15" customHeight="1" x14ac:dyDescent="0.2">
      <c r="A39" s="246" t="s">
        <v>207</v>
      </c>
      <c r="B39" s="247"/>
      <c r="C39" s="214" t="s">
        <v>839</v>
      </c>
      <c r="D39" s="251" t="str">
        <f>IF(C39&lt;&gt;"",LOOKUP(C39,Djel!A5:A619,Djel!B5:B619),"Djelatnost nije upisana!")</f>
        <v>Ostala prerada i konzerviranje voća i povrća</v>
      </c>
      <c r="E39" s="252"/>
      <c r="F39" s="252"/>
      <c r="G39" s="252"/>
      <c r="H39" s="55" t="str">
        <f>IF(Bilanca!O1+RDG!O1&gt;0,"DA","NE")</f>
        <v>DA</v>
      </c>
      <c r="I39" s="288" t="str">
        <f>IF(C17=32, "Samo bilanca, bez Računa dobiti i gubitka", "Bilanca i Račun dobiti i gubitka")</f>
        <v>Bilanca i Račun dobiti i gubitka</v>
      </c>
      <c r="J39" s="288"/>
      <c r="K39" s="288"/>
      <c r="L39" s="288"/>
      <c r="M39" s="288"/>
      <c r="N39" s="289"/>
      <c r="P39">
        <v>11</v>
      </c>
      <c r="Q39" t="s">
        <v>1866</v>
      </c>
      <c r="R39">
        <v>2</v>
      </c>
      <c r="T39">
        <v>11</v>
      </c>
      <c r="U39" t="s">
        <v>2489</v>
      </c>
      <c r="Z39" s="27" t="s">
        <v>724</v>
      </c>
      <c r="AB39">
        <v>11</v>
      </c>
      <c r="AC39" t="s">
        <v>930</v>
      </c>
      <c r="AD39">
        <v>11</v>
      </c>
    </row>
    <row r="40" spans="1:33" ht="8.1" customHeight="1" x14ac:dyDescent="0.2">
      <c r="A40" s="116"/>
      <c r="B40" s="116"/>
      <c r="C40" s="50"/>
      <c r="D40" s="252"/>
      <c r="E40" s="252"/>
      <c r="F40" s="252"/>
      <c r="G40" s="252"/>
      <c r="H40" s="50"/>
      <c r="I40" s="289"/>
      <c r="J40" s="289"/>
      <c r="K40" s="289"/>
      <c r="L40" s="289"/>
      <c r="M40" s="289"/>
      <c r="N40" s="289"/>
      <c r="P40">
        <v>12</v>
      </c>
      <c r="Q40" t="s">
        <v>1872</v>
      </c>
      <c r="R40">
        <v>5</v>
      </c>
      <c r="T40">
        <v>12</v>
      </c>
      <c r="U40" t="s">
        <v>2490</v>
      </c>
      <c r="Z40" s="27" t="s">
        <v>726</v>
      </c>
      <c r="AB40">
        <v>12</v>
      </c>
      <c r="AC40" t="s">
        <v>931</v>
      </c>
      <c r="AD40">
        <v>51</v>
      </c>
    </row>
    <row r="41" spans="1:33" ht="15" customHeight="1" x14ac:dyDescent="0.2">
      <c r="A41" s="246" t="s">
        <v>208</v>
      </c>
      <c r="B41" s="247"/>
      <c r="C41" s="210" t="s">
        <v>966</v>
      </c>
      <c r="D41" s="252"/>
      <c r="E41" s="252"/>
      <c r="F41" s="252"/>
      <c r="G41" s="252"/>
      <c r="H41" s="55" t="str">
        <f>IF(PodDop!O1&gt;0,"DA","NE")</f>
        <v>NE</v>
      </c>
      <c r="I41" s="288" t="s">
        <v>1367</v>
      </c>
      <c r="J41" s="288"/>
      <c r="K41" s="288"/>
      <c r="L41" s="288"/>
      <c r="M41" s="288"/>
      <c r="N41" s="289"/>
      <c r="P41">
        <v>13</v>
      </c>
      <c r="Q41" t="s">
        <v>622</v>
      </c>
      <c r="R41">
        <v>14</v>
      </c>
      <c r="T41">
        <v>13</v>
      </c>
      <c r="U41" t="s">
        <v>2491</v>
      </c>
      <c r="Z41" s="27" t="s">
        <v>728</v>
      </c>
      <c r="AB41">
        <v>13</v>
      </c>
      <c r="AC41" t="s">
        <v>932</v>
      </c>
      <c r="AD41">
        <v>51</v>
      </c>
    </row>
    <row r="42" spans="1:33" ht="8.1" customHeight="1" x14ac:dyDescent="0.2">
      <c r="A42" s="116"/>
      <c r="B42" s="116"/>
      <c r="C42" s="194"/>
      <c r="D42" s="50"/>
      <c r="E42" s="50"/>
      <c r="F42" s="50"/>
      <c r="G42" s="50"/>
      <c r="H42" s="50"/>
      <c r="I42" s="289"/>
      <c r="J42" s="289"/>
      <c r="K42" s="289"/>
      <c r="L42" s="289"/>
      <c r="M42" s="289"/>
      <c r="N42" s="289"/>
      <c r="P42">
        <v>15</v>
      </c>
      <c r="Q42" t="s">
        <v>625</v>
      </c>
      <c r="R42">
        <v>20</v>
      </c>
      <c r="T42">
        <v>14</v>
      </c>
      <c r="U42" t="s">
        <v>2492</v>
      </c>
      <c r="Z42" s="27" t="s">
        <v>730</v>
      </c>
      <c r="AB42">
        <v>14</v>
      </c>
      <c r="AC42" t="s">
        <v>933</v>
      </c>
      <c r="AD42">
        <v>51</v>
      </c>
    </row>
    <row r="43" spans="1:33" ht="15" customHeight="1" x14ac:dyDescent="0.2">
      <c r="A43" s="246" t="s">
        <v>1766</v>
      </c>
      <c r="B43" s="247"/>
      <c r="C43" s="210" t="s">
        <v>2178</v>
      </c>
      <c r="D43" s="50"/>
      <c r="E43" s="50"/>
      <c r="F43" s="50"/>
      <c r="G43" s="50"/>
      <c r="H43" s="143" t="s">
        <v>2178</v>
      </c>
      <c r="I43" s="288" t="s">
        <v>1791</v>
      </c>
      <c r="J43" s="288"/>
      <c r="K43" s="288"/>
      <c r="L43" s="288"/>
      <c r="M43" s="288"/>
      <c r="N43" s="289"/>
      <c r="P43">
        <v>16</v>
      </c>
      <c r="Q43" t="s">
        <v>2709</v>
      </c>
      <c r="R43">
        <v>14</v>
      </c>
      <c r="T43">
        <v>15</v>
      </c>
      <c r="U43" t="s">
        <v>2493</v>
      </c>
      <c r="Z43" s="27" t="s">
        <v>1150</v>
      </c>
      <c r="AB43">
        <v>15</v>
      </c>
      <c r="AC43" t="s">
        <v>934</v>
      </c>
      <c r="AD43">
        <v>51</v>
      </c>
    </row>
    <row r="44" spans="1:33" ht="8.1" customHeight="1" x14ac:dyDescent="0.2">
      <c r="A44" s="116"/>
      <c r="B44" s="116"/>
      <c r="C44" s="50"/>
      <c r="D44" s="50"/>
      <c r="E44" s="50"/>
      <c r="F44" s="50"/>
      <c r="G44" s="50"/>
      <c r="H44" s="50"/>
      <c r="I44" s="289"/>
      <c r="J44" s="289"/>
      <c r="K44" s="289"/>
      <c r="L44" s="289"/>
      <c r="M44" s="289"/>
      <c r="N44" s="289"/>
      <c r="P44">
        <v>17</v>
      </c>
      <c r="Q44" t="s">
        <v>2712</v>
      </c>
      <c r="R44">
        <v>13</v>
      </c>
      <c r="T44">
        <v>16</v>
      </c>
      <c r="U44" t="s">
        <v>2494</v>
      </c>
      <c r="Z44" s="27" t="s">
        <v>1152</v>
      </c>
      <c r="AB44">
        <v>99</v>
      </c>
      <c r="AC44" t="s">
        <v>1817</v>
      </c>
      <c r="AD44">
        <v>51</v>
      </c>
    </row>
    <row r="45" spans="1:33" ht="15" customHeight="1" x14ac:dyDescent="0.2">
      <c r="A45" s="246" t="s">
        <v>1754</v>
      </c>
      <c r="B45" s="247"/>
      <c r="C45" s="210">
        <v>2</v>
      </c>
      <c r="D45" s="271" t="str">
        <f>IF(C45&lt;&gt;"",LOOKUP(C45,T52:T54,U52:U54),"Svrha predaje još nije odabrana")</f>
        <v>Predaja samo u svrhu javne objave</v>
      </c>
      <c r="E45" s="272"/>
      <c r="F45" s="272"/>
      <c r="G45" s="252"/>
      <c r="H45" s="55" t="str">
        <f>IF(OR(NT_I!O1&gt;0,NT_D!P1&gt;0),"DA", "NE")</f>
        <v>DA</v>
      </c>
      <c r="I45" s="288" t="s">
        <v>1792</v>
      </c>
      <c r="J45" s="288"/>
      <c r="K45" s="288"/>
      <c r="L45" s="288"/>
      <c r="M45" s="288"/>
      <c r="N45" s="289"/>
      <c r="P45">
        <v>18</v>
      </c>
      <c r="Q45" t="s">
        <v>2715</v>
      </c>
      <c r="R45">
        <v>7</v>
      </c>
      <c r="T45">
        <v>17</v>
      </c>
      <c r="U45" t="s">
        <v>2495</v>
      </c>
      <c r="Z45" s="27" t="s">
        <v>1154</v>
      </c>
    </row>
    <row r="46" spans="1:33" ht="8.1" customHeight="1" x14ac:dyDescent="0.2">
      <c r="A46" s="116"/>
      <c r="B46" s="116"/>
      <c r="C46" s="194"/>
      <c r="D46" s="272"/>
      <c r="E46" s="272"/>
      <c r="F46" s="272"/>
      <c r="G46" s="252"/>
      <c r="H46" s="50"/>
      <c r="I46" s="289"/>
      <c r="J46" s="289"/>
      <c r="K46" s="289"/>
      <c r="L46" s="289"/>
      <c r="M46" s="289"/>
      <c r="N46" s="289"/>
      <c r="P46">
        <v>19</v>
      </c>
      <c r="Q46" t="s">
        <v>2718</v>
      </c>
      <c r="R46">
        <v>5</v>
      </c>
      <c r="T46">
        <v>18</v>
      </c>
      <c r="U46" t="s">
        <v>2496</v>
      </c>
      <c r="Z46" s="27" t="s">
        <v>1156</v>
      </c>
    </row>
    <row r="47" spans="1:33" ht="15" customHeight="1" x14ac:dyDescent="0.2">
      <c r="A47" s="246" t="s">
        <v>1755</v>
      </c>
      <c r="B47" s="247"/>
      <c r="C47" s="210">
        <v>3</v>
      </c>
      <c r="D47" s="269" t="str">
        <f>IF(C47&lt;&gt;"",LOOKUP(C47,Sifre!A6:A8,Sifre!B6:B8),"Veličina nije upisana")</f>
        <v>Veliki poduzetnik</v>
      </c>
      <c r="E47" s="270"/>
      <c r="F47" s="270"/>
      <c r="G47" s="270"/>
      <c r="H47" s="55" t="str">
        <f>IF(PK!O1&gt;0,"DA", "NE")</f>
        <v>DA</v>
      </c>
      <c r="I47" s="288" t="s">
        <v>2469</v>
      </c>
      <c r="J47" s="288"/>
      <c r="K47" s="288"/>
      <c r="L47" s="288"/>
      <c r="M47" s="288"/>
      <c r="N47" s="289"/>
      <c r="P47">
        <v>20</v>
      </c>
      <c r="Q47" t="s">
        <v>2721</v>
      </c>
      <c r="R47">
        <v>13</v>
      </c>
      <c r="T47">
        <v>19</v>
      </c>
      <c r="U47" t="s">
        <v>2497</v>
      </c>
      <c r="Z47" s="27" t="s">
        <v>1158</v>
      </c>
    </row>
    <row r="48" spans="1:33" ht="8.1" customHeight="1" x14ac:dyDescent="0.2">
      <c r="A48" s="116"/>
      <c r="B48" s="116"/>
      <c r="C48" s="50"/>
      <c r="D48" s="270"/>
      <c r="E48" s="270"/>
      <c r="F48" s="270"/>
      <c r="G48" s="270"/>
      <c r="H48" s="50"/>
      <c r="I48" s="289"/>
      <c r="J48" s="289"/>
      <c r="K48" s="289"/>
      <c r="L48" s="289"/>
      <c r="M48" s="289"/>
      <c r="N48" s="289"/>
      <c r="P48">
        <v>21</v>
      </c>
      <c r="Q48" t="s">
        <v>2727</v>
      </c>
      <c r="R48">
        <v>14</v>
      </c>
      <c r="T48">
        <v>20</v>
      </c>
      <c r="U48" t="s">
        <v>2498</v>
      </c>
      <c r="Z48" s="27" t="s">
        <v>1160</v>
      </c>
    </row>
    <row r="49" spans="1:26" ht="15" customHeight="1" x14ac:dyDescent="0.2">
      <c r="A49" s="246" t="s">
        <v>214</v>
      </c>
      <c r="B49" s="247"/>
      <c r="C49" s="210">
        <v>41</v>
      </c>
      <c r="D49" s="269" t="str">
        <f>IF(C49&lt;&gt;"",LOOKUP(C49,AF29:AF36,AG29:AG36),"Oznaka vlasništva nije upisana")</f>
        <v>Mješovito vlasništvo s preko 50% privatnog kapitala</v>
      </c>
      <c r="E49" s="270"/>
      <c r="F49" s="270"/>
      <c r="G49" s="270"/>
      <c r="H49" s="143" t="s">
        <v>2178</v>
      </c>
      <c r="I49" s="288" t="s">
        <v>2470</v>
      </c>
      <c r="J49" s="288"/>
      <c r="K49" s="288"/>
      <c r="L49" s="288"/>
      <c r="M49" s="288"/>
      <c r="N49" s="289"/>
      <c r="P49">
        <v>22</v>
      </c>
      <c r="Q49" t="s">
        <v>2730</v>
      </c>
      <c r="R49">
        <v>13</v>
      </c>
      <c r="T49">
        <v>21</v>
      </c>
      <c r="U49" t="s">
        <v>2499</v>
      </c>
      <c r="Z49" s="27" t="s">
        <v>1162</v>
      </c>
    </row>
    <row r="50" spans="1:26" ht="8.1" customHeight="1" x14ac:dyDescent="0.2">
      <c r="A50" s="116"/>
      <c r="B50" s="116"/>
      <c r="C50" s="50"/>
      <c r="D50" s="270"/>
      <c r="E50" s="270"/>
      <c r="F50" s="270"/>
      <c r="G50" s="270"/>
      <c r="H50" s="50"/>
      <c r="I50" s="289"/>
      <c r="J50" s="289"/>
      <c r="K50" s="289"/>
      <c r="L50" s="289"/>
      <c r="M50" s="289"/>
      <c r="N50" s="289"/>
      <c r="P50">
        <v>23</v>
      </c>
      <c r="Q50" t="s">
        <v>2739</v>
      </c>
      <c r="R50">
        <v>14</v>
      </c>
      <c r="Z50" s="27" t="s">
        <v>1164</v>
      </c>
    </row>
    <row r="51" spans="1:26" ht="15" customHeight="1" x14ac:dyDescent="0.2">
      <c r="A51" s="246" t="s">
        <v>1756</v>
      </c>
      <c r="B51" s="247"/>
      <c r="C51" s="213">
        <v>78</v>
      </c>
      <c r="D51" s="50"/>
      <c r="E51" s="213">
        <v>22</v>
      </c>
      <c r="F51" s="50"/>
      <c r="G51" s="116"/>
      <c r="H51" s="143" t="s">
        <v>2178</v>
      </c>
      <c r="I51" s="288" t="s">
        <v>2471</v>
      </c>
      <c r="J51" s="288"/>
      <c r="K51" s="288"/>
      <c r="L51" s="288"/>
      <c r="M51" s="288"/>
      <c r="N51" s="289"/>
      <c r="P51">
        <v>24</v>
      </c>
      <c r="Q51" t="s">
        <v>2742</v>
      </c>
      <c r="R51">
        <v>7</v>
      </c>
      <c r="T51" t="s">
        <v>2503</v>
      </c>
      <c r="U51" t="s">
        <v>2504</v>
      </c>
      <c r="Z51" s="27" t="s">
        <v>1166</v>
      </c>
    </row>
    <row r="52" spans="1:26" ht="12" customHeight="1" x14ac:dyDescent="0.2">
      <c r="A52" s="116"/>
      <c r="B52" s="116"/>
      <c r="C52" s="194" t="s">
        <v>1757</v>
      </c>
      <c r="D52" s="50"/>
      <c r="E52" s="194" t="s">
        <v>1758</v>
      </c>
      <c r="F52" s="50"/>
      <c r="G52" s="116"/>
      <c r="H52" s="50"/>
      <c r="I52" s="289"/>
      <c r="J52" s="289"/>
      <c r="K52" s="289"/>
      <c r="L52" s="289"/>
      <c r="M52" s="289"/>
      <c r="N52" s="289"/>
      <c r="P52">
        <v>25</v>
      </c>
      <c r="Q52" t="s">
        <v>1608</v>
      </c>
      <c r="R52">
        <v>19</v>
      </c>
      <c r="T52">
        <v>1</v>
      </c>
      <c r="U52" t="s">
        <v>2500</v>
      </c>
      <c r="Z52" s="27" t="s">
        <v>1168</v>
      </c>
    </row>
    <row r="53" spans="1:26" ht="15" customHeight="1" x14ac:dyDescent="0.2">
      <c r="A53" s="260" t="s">
        <v>1892</v>
      </c>
      <c r="B53" s="261"/>
      <c r="C53" s="215">
        <v>6773</v>
      </c>
      <c r="D53" s="196"/>
      <c r="E53" s="215">
        <v>6761</v>
      </c>
      <c r="F53" s="196"/>
      <c r="G53" s="116"/>
      <c r="H53" s="143" t="s">
        <v>2178</v>
      </c>
      <c r="I53" s="288" t="s">
        <v>2472</v>
      </c>
      <c r="J53" s="288"/>
      <c r="K53" s="288"/>
      <c r="L53" s="288"/>
      <c r="M53" s="288"/>
      <c r="N53" s="289"/>
      <c r="P53">
        <v>26</v>
      </c>
      <c r="Q53" t="s">
        <v>1611</v>
      </c>
      <c r="R53">
        <v>16</v>
      </c>
      <c r="T53">
        <v>2</v>
      </c>
      <c r="U53" t="s">
        <v>2501</v>
      </c>
      <c r="Z53" s="27" t="s">
        <v>1170</v>
      </c>
    </row>
    <row r="54" spans="1:26" ht="12" customHeight="1" x14ac:dyDescent="0.2">
      <c r="A54" s="262"/>
      <c r="B54" s="262"/>
      <c r="C54" s="265" t="s">
        <v>209</v>
      </c>
      <c r="D54" s="266"/>
      <c r="E54" s="265" t="s">
        <v>210</v>
      </c>
      <c r="F54" s="266"/>
      <c r="G54" s="116"/>
      <c r="H54" s="50"/>
      <c r="I54" s="289"/>
      <c r="J54" s="289"/>
      <c r="K54" s="289"/>
      <c r="L54" s="289"/>
      <c r="M54" s="289"/>
      <c r="N54" s="289"/>
      <c r="P54">
        <v>27</v>
      </c>
      <c r="Q54" t="s">
        <v>1614</v>
      </c>
      <c r="R54">
        <v>17</v>
      </c>
      <c r="T54">
        <v>3</v>
      </c>
      <c r="U54" t="s">
        <v>2502</v>
      </c>
      <c r="Z54" s="27" t="s">
        <v>1172</v>
      </c>
    </row>
    <row r="55" spans="1:26" ht="15" customHeight="1" x14ac:dyDescent="0.2">
      <c r="A55" s="263" t="s">
        <v>1893</v>
      </c>
      <c r="B55" s="264"/>
      <c r="C55" s="215">
        <v>6446</v>
      </c>
      <c r="D55" s="196"/>
      <c r="E55" s="216">
        <v>6543</v>
      </c>
      <c r="F55" s="196"/>
      <c r="G55" s="116"/>
      <c r="H55" s="143" t="s">
        <v>2178</v>
      </c>
      <c r="I55" s="288" t="s">
        <v>2473</v>
      </c>
      <c r="J55" s="288"/>
      <c r="K55" s="288"/>
      <c r="L55" s="288"/>
      <c r="M55" s="288"/>
      <c r="N55" s="289"/>
      <c r="P55">
        <v>29</v>
      </c>
      <c r="Q55" t="s">
        <v>1617</v>
      </c>
      <c r="R55">
        <v>16</v>
      </c>
      <c r="Z55" s="27" t="s">
        <v>1174</v>
      </c>
    </row>
    <row r="56" spans="1:26" ht="12" customHeight="1" x14ac:dyDescent="0.2">
      <c r="A56" s="263"/>
      <c r="B56" s="263"/>
      <c r="C56" s="265" t="s">
        <v>209</v>
      </c>
      <c r="D56" s="266"/>
      <c r="E56" s="258" t="s">
        <v>210</v>
      </c>
      <c r="F56" s="266"/>
      <c r="G56" s="116"/>
      <c r="H56" s="50"/>
      <c r="I56" s="288"/>
      <c r="J56" s="288"/>
      <c r="K56" s="288"/>
      <c r="L56" s="288"/>
      <c r="M56" s="288"/>
      <c r="N56" s="289"/>
      <c r="P56">
        <v>30</v>
      </c>
      <c r="Q56" t="s">
        <v>1620</v>
      </c>
      <c r="R56">
        <v>4</v>
      </c>
      <c r="T56" t="s">
        <v>2505</v>
      </c>
      <c r="U56" t="s">
        <v>2506</v>
      </c>
      <c r="Z56" s="27" t="s">
        <v>744</v>
      </c>
    </row>
    <row r="57" spans="1:26" ht="15" customHeight="1" x14ac:dyDescent="0.2">
      <c r="A57" s="267" t="s">
        <v>2366</v>
      </c>
      <c r="B57" s="268"/>
      <c r="C57" s="215">
        <v>3</v>
      </c>
      <c r="D57" s="50"/>
      <c r="E57" s="215">
        <v>3</v>
      </c>
      <c r="F57" s="50"/>
      <c r="G57" s="116"/>
      <c r="H57" s="50"/>
      <c r="I57" s="50"/>
      <c r="J57" s="50"/>
      <c r="K57" s="50"/>
      <c r="L57" s="50"/>
      <c r="M57" s="50"/>
      <c r="N57" s="50"/>
      <c r="P57">
        <v>32</v>
      </c>
      <c r="Q57" t="s">
        <v>1623</v>
      </c>
      <c r="R57">
        <v>16</v>
      </c>
      <c r="T57">
        <v>1</v>
      </c>
      <c r="U57" t="s">
        <v>248</v>
      </c>
      <c r="Z57" s="27" t="s">
        <v>746</v>
      </c>
    </row>
    <row r="58" spans="1:26" ht="20.100000000000001" customHeight="1" x14ac:dyDescent="0.2">
      <c r="A58" s="116"/>
      <c r="B58" s="116"/>
      <c r="C58" s="198" t="s">
        <v>209</v>
      </c>
      <c r="D58" s="50"/>
      <c r="E58" s="194" t="s">
        <v>210</v>
      </c>
      <c r="F58" s="50"/>
      <c r="G58" s="116"/>
      <c r="H58" s="50"/>
      <c r="I58" s="50"/>
      <c r="J58" s="50"/>
      <c r="K58" s="50"/>
      <c r="L58" s="50"/>
      <c r="M58" s="50"/>
      <c r="N58" s="50"/>
      <c r="P58">
        <v>33</v>
      </c>
      <c r="Q58" t="s">
        <v>1626</v>
      </c>
      <c r="R58">
        <v>1</v>
      </c>
      <c r="T58">
        <v>2</v>
      </c>
      <c r="U58" t="s">
        <v>249</v>
      </c>
      <c r="Z58" s="27" t="s">
        <v>497</v>
      </c>
    </row>
    <row r="59" spans="1:26" ht="15" customHeight="1" x14ac:dyDescent="0.2">
      <c r="A59" s="290" t="s">
        <v>1759</v>
      </c>
      <c r="B59" s="291"/>
      <c r="C59" s="291"/>
      <c r="D59" s="291"/>
      <c r="E59" s="291"/>
      <c r="F59" s="292"/>
      <c r="G59" s="240"/>
      <c r="H59" s="241"/>
      <c r="I59" s="116"/>
      <c r="J59" s="240"/>
      <c r="K59" s="241"/>
      <c r="L59" s="116"/>
      <c r="M59" s="240"/>
      <c r="N59" s="241"/>
      <c r="P59">
        <v>34</v>
      </c>
      <c r="Q59" t="s">
        <v>1629</v>
      </c>
      <c r="R59">
        <v>1</v>
      </c>
      <c r="T59">
        <v>3</v>
      </c>
      <c r="U59" t="s">
        <v>250</v>
      </c>
      <c r="Z59" s="27" t="s">
        <v>499</v>
      </c>
    </row>
    <row r="60" spans="1:26" ht="8.1" customHeight="1" x14ac:dyDescent="0.2">
      <c r="A60" s="197"/>
      <c r="B60" s="197"/>
      <c r="C60" s="116"/>
      <c r="D60" s="116"/>
      <c r="E60" s="116"/>
      <c r="F60" s="116"/>
      <c r="G60" s="295"/>
      <c r="H60" s="296"/>
      <c r="I60" s="116"/>
      <c r="J60" s="116"/>
      <c r="K60" s="199"/>
      <c r="L60" s="116"/>
      <c r="M60" s="295"/>
      <c r="N60" s="296"/>
      <c r="P60">
        <v>35</v>
      </c>
      <c r="Q60" t="s">
        <v>1635</v>
      </c>
      <c r="R60">
        <v>11</v>
      </c>
      <c r="Z60" s="27" t="s">
        <v>501</v>
      </c>
    </row>
    <row r="61" spans="1:26" ht="15" customHeight="1" x14ac:dyDescent="0.2">
      <c r="A61" s="280" t="s">
        <v>1760</v>
      </c>
      <c r="B61" s="280"/>
      <c r="C61" s="280"/>
      <c r="D61" s="280"/>
      <c r="E61" s="280"/>
      <c r="F61" s="281"/>
      <c r="G61" s="240"/>
      <c r="H61" s="241"/>
      <c r="I61" s="200"/>
      <c r="J61" s="240"/>
      <c r="K61" s="241"/>
      <c r="L61" s="200"/>
      <c r="M61" s="240"/>
      <c r="N61" s="241"/>
      <c r="P61">
        <v>36</v>
      </c>
      <c r="Q61" t="s">
        <v>1638</v>
      </c>
      <c r="R61">
        <v>5</v>
      </c>
      <c r="Z61" s="27" t="s">
        <v>503</v>
      </c>
    </row>
    <row r="62" spans="1:26" ht="20.100000000000001" customHeight="1" x14ac:dyDescent="0.2">
      <c r="A62" s="201"/>
      <c r="B62" s="201"/>
      <c r="C62" s="293"/>
      <c r="D62" s="294"/>
      <c r="E62" s="50"/>
      <c r="F62" s="293"/>
      <c r="G62" s="296"/>
      <c r="H62" s="202"/>
      <c r="I62" s="50"/>
      <c r="J62" s="50"/>
      <c r="K62" s="50"/>
      <c r="L62" s="50"/>
      <c r="M62" s="202"/>
      <c r="N62" s="202"/>
      <c r="P62">
        <v>37</v>
      </c>
      <c r="Q62" t="s">
        <v>1644</v>
      </c>
      <c r="R62">
        <v>9</v>
      </c>
      <c r="Z62" s="27" t="s">
        <v>505</v>
      </c>
    </row>
    <row r="63" spans="1:26" ht="15" customHeight="1" x14ac:dyDescent="0.2">
      <c r="A63" s="267" t="s">
        <v>1761</v>
      </c>
      <c r="B63" s="268"/>
      <c r="C63" s="240"/>
      <c r="D63" s="241"/>
      <c r="E63" s="116"/>
      <c r="F63" s="237"/>
      <c r="G63" s="249"/>
      <c r="H63" s="249"/>
      <c r="I63" s="249"/>
      <c r="J63" s="249"/>
      <c r="K63" s="249"/>
      <c r="L63" s="249"/>
      <c r="M63" s="249"/>
      <c r="N63" s="250"/>
      <c r="P63">
        <v>38</v>
      </c>
      <c r="Q63" t="s">
        <v>1647</v>
      </c>
      <c r="R63">
        <v>8</v>
      </c>
      <c r="Z63" s="27" t="s">
        <v>507</v>
      </c>
    </row>
    <row r="64" spans="1:26" ht="12" customHeight="1" x14ac:dyDescent="0.2">
      <c r="A64" s="201"/>
      <c r="B64" s="201"/>
      <c r="C64" s="293" t="s">
        <v>2592</v>
      </c>
      <c r="D64" s="294"/>
      <c r="E64" s="50"/>
      <c r="F64" s="258" t="s">
        <v>2593</v>
      </c>
      <c r="G64" s="259"/>
      <c r="H64" s="202"/>
      <c r="I64" s="202"/>
      <c r="J64" s="202"/>
      <c r="K64" s="202"/>
      <c r="L64" s="202"/>
      <c r="M64" s="202"/>
      <c r="N64" s="202"/>
      <c r="P64">
        <v>39</v>
      </c>
      <c r="Q64" t="s">
        <v>1650</v>
      </c>
      <c r="R64">
        <v>12</v>
      </c>
      <c r="Z64" s="27" t="s">
        <v>509</v>
      </c>
    </row>
    <row r="65" spans="1:26" ht="15" customHeight="1" x14ac:dyDescent="0.2">
      <c r="A65" s="267" t="s">
        <v>2367</v>
      </c>
      <c r="B65" s="268"/>
      <c r="C65" s="237" t="s">
        <v>2045</v>
      </c>
      <c r="D65" s="238"/>
      <c r="E65" s="238"/>
      <c r="F65" s="238"/>
      <c r="G65" s="238"/>
      <c r="H65" s="238"/>
      <c r="I65" s="238"/>
      <c r="J65" s="239"/>
      <c r="K65" s="116"/>
      <c r="L65" s="116"/>
      <c r="M65" s="116"/>
      <c r="N65" s="203" t="str">
        <f xml:space="preserve"> "Verzija Excel datoteke: " &amp; MID(Skriveni!B4,1,1) &amp; "." &amp; MID(Skriveni!B4,2,1) &amp; "." &amp; MID(Skriveni!B4,3,1) &amp; "."</f>
        <v>Verzija Excel datoteke: 1.0.5.</v>
      </c>
      <c r="P65">
        <v>40</v>
      </c>
      <c r="Q65" t="s">
        <v>1653</v>
      </c>
      <c r="R65">
        <v>18</v>
      </c>
      <c r="Z65" s="27" t="s">
        <v>511</v>
      </c>
    </row>
    <row r="66" spans="1:26" ht="12" customHeight="1" x14ac:dyDescent="0.2">
      <c r="A66" s="116"/>
      <c r="B66" s="116"/>
      <c r="C66" s="204" t="s">
        <v>2368</v>
      </c>
      <c r="D66" s="116"/>
      <c r="E66" s="116"/>
      <c r="F66" s="116"/>
      <c r="G66" s="116"/>
      <c r="H66" s="116"/>
      <c r="I66" s="116"/>
      <c r="J66" s="116"/>
      <c r="K66" s="116"/>
      <c r="L66" s="116"/>
      <c r="M66" s="116"/>
      <c r="N66" s="50"/>
      <c r="P66">
        <v>41</v>
      </c>
      <c r="Q66" t="s">
        <v>1486</v>
      </c>
      <c r="R66">
        <v>2</v>
      </c>
      <c r="Z66" s="27" t="s">
        <v>513</v>
      </c>
    </row>
    <row r="67" spans="1:26" ht="15" customHeight="1" x14ac:dyDescent="0.2">
      <c r="A67" s="267" t="s">
        <v>2369</v>
      </c>
      <c r="B67" s="268"/>
      <c r="C67" s="255" t="s">
        <v>965</v>
      </c>
      <c r="D67" s="256"/>
      <c r="E67" s="257"/>
      <c r="F67" s="116"/>
      <c r="G67" s="192" t="s">
        <v>2370</v>
      </c>
      <c r="H67" s="255" t="s">
        <v>2042</v>
      </c>
      <c r="I67" s="256"/>
      <c r="J67" s="257"/>
      <c r="K67" s="116"/>
      <c r="L67" s="116"/>
      <c r="M67" s="116"/>
      <c r="N67" s="50"/>
      <c r="P67">
        <v>42</v>
      </c>
      <c r="Q67" t="s">
        <v>1489</v>
      </c>
      <c r="R67">
        <v>18</v>
      </c>
      <c r="Z67" s="27" t="s">
        <v>515</v>
      </c>
    </row>
    <row r="68" spans="1:26" ht="8.1" customHeight="1" x14ac:dyDescent="0.2">
      <c r="A68" s="116"/>
      <c r="B68" s="116"/>
      <c r="C68" s="204"/>
      <c r="D68" s="116"/>
      <c r="E68" s="116"/>
      <c r="F68" s="116"/>
      <c r="G68" s="116"/>
      <c r="H68" s="116"/>
      <c r="I68" s="116"/>
      <c r="J68" s="116"/>
      <c r="K68" s="116"/>
      <c r="L68" s="116"/>
      <c r="M68" s="116"/>
      <c r="N68" s="50"/>
      <c r="P68">
        <v>43</v>
      </c>
      <c r="Q68" t="s">
        <v>1495</v>
      </c>
      <c r="R68">
        <v>18</v>
      </c>
      <c r="Z68" s="27" t="s">
        <v>517</v>
      </c>
    </row>
    <row r="69" spans="1:26" ht="15" customHeight="1" x14ac:dyDescent="0.2">
      <c r="A69" s="267" t="s">
        <v>203</v>
      </c>
      <c r="B69" s="268"/>
      <c r="C69" s="255" t="s">
        <v>2043</v>
      </c>
      <c r="D69" s="256"/>
      <c r="E69" s="256"/>
      <c r="F69" s="256"/>
      <c r="G69" s="256"/>
      <c r="H69" s="256"/>
      <c r="I69" s="256"/>
      <c r="J69" s="257"/>
      <c r="K69" s="116"/>
      <c r="L69" s="116"/>
      <c r="M69" s="116"/>
      <c r="N69" s="50"/>
      <c r="P69">
        <v>44</v>
      </c>
      <c r="Q69" t="s">
        <v>1498</v>
      </c>
      <c r="R69">
        <v>16</v>
      </c>
      <c r="Z69" s="27" t="s">
        <v>567</v>
      </c>
    </row>
    <row r="70" spans="1:26" ht="12" customHeight="1" x14ac:dyDescent="0.2">
      <c r="A70" s="116"/>
      <c r="B70" s="116"/>
      <c r="C70" s="116"/>
      <c r="D70" s="116"/>
      <c r="E70" s="116"/>
      <c r="F70" s="116"/>
      <c r="G70" s="116"/>
      <c r="H70" s="116"/>
      <c r="I70" s="116"/>
      <c r="J70" s="116"/>
      <c r="K70" s="116"/>
      <c r="L70" s="116"/>
      <c r="M70" s="116"/>
      <c r="N70" s="50"/>
      <c r="P70">
        <v>46</v>
      </c>
      <c r="Q70" t="s">
        <v>1928</v>
      </c>
      <c r="R70">
        <v>12</v>
      </c>
      <c r="Z70" s="27" t="s">
        <v>569</v>
      </c>
    </row>
    <row r="71" spans="1:26" ht="15" customHeight="1" x14ac:dyDescent="0.2">
      <c r="A71" s="246" t="s">
        <v>888</v>
      </c>
      <c r="B71" s="287"/>
      <c r="C71" s="255" t="s">
        <v>2044</v>
      </c>
      <c r="D71" s="256"/>
      <c r="E71" s="256"/>
      <c r="F71" s="256"/>
      <c r="G71" s="256"/>
      <c r="H71" s="257"/>
      <c r="I71" s="116"/>
      <c r="J71" s="205"/>
      <c r="K71" s="205"/>
      <c r="L71" s="205"/>
      <c r="M71" s="205"/>
      <c r="N71" s="205"/>
      <c r="P71">
        <v>47</v>
      </c>
      <c r="Q71" t="s">
        <v>1931</v>
      </c>
      <c r="R71">
        <v>18</v>
      </c>
      <c r="Z71" s="27" t="s">
        <v>571</v>
      </c>
    </row>
    <row r="72" spans="1:26" ht="12" customHeight="1" x14ac:dyDescent="0.2">
      <c r="A72" s="206"/>
      <c r="B72" s="206"/>
      <c r="C72" s="299" t="s">
        <v>2511</v>
      </c>
      <c r="D72" s="300"/>
      <c r="E72" s="300"/>
      <c r="F72" s="300"/>
      <c r="G72" s="300"/>
      <c r="H72" s="300"/>
      <c r="I72" s="116"/>
      <c r="J72" s="207"/>
      <c r="K72" s="207"/>
      <c r="L72" s="207"/>
      <c r="M72" s="208"/>
      <c r="N72" s="208"/>
      <c r="P72">
        <v>48</v>
      </c>
      <c r="Q72" t="s">
        <v>1934</v>
      </c>
      <c r="R72">
        <v>5</v>
      </c>
      <c r="Z72" s="27" t="s">
        <v>573</v>
      </c>
    </row>
    <row r="73" spans="1:26" ht="50.1" customHeight="1" thickBot="1" x14ac:dyDescent="0.25">
      <c r="A73" s="209" t="str">
        <f xml:space="preserve"> IF(Kont!M1&gt;0, "Obrazac još uvijek sadrži neke pogreške! Ako ste završili s popunjavanjem, provjerite radni list Kont. Broj pogreški: " &amp; Kont!M1,"")</f>
        <v>Obrazac još uvijek sadrži neke pogreške! Ako ste završili s popunjavanjem, provjerite radni list Kont. Broj pogreški: 5</v>
      </c>
      <c r="B73" s="116"/>
      <c r="C73" s="116"/>
      <c r="D73" s="116"/>
      <c r="E73" s="116"/>
      <c r="F73" s="116"/>
      <c r="G73" s="116"/>
      <c r="H73" s="116"/>
      <c r="I73" s="116"/>
      <c r="J73" s="116"/>
      <c r="K73" s="116"/>
      <c r="L73" s="116"/>
      <c r="M73" s="116"/>
      <c r="N73" s="50"/>
      <c r="P73">
        <v>49</v>
      </c>
      <c r="Q73" t="s">
        <v>1937</v>
      </c>
      <c r="R73">
        <v>4</v>
      </c>
      <c r="Z73" s="27" t="s">
        <v>575</v>
      </c>
    </row>
    <row r="74" spans="1:26" ht="12.75" customHeight="1" x14ac:dyDescent="0.2">
      <c r="A74" s="116"/>
      <c r="B74" s="116"/>
      <c r="C74" s="116"/>
      <c r="D74" s="116"/>
      <c r="E74" s="116"/>
      <c r="F74" s="116"/>
      <c r="G74" s="206" t="s">
        <v>2427</v>
      </c>
      <c r="H74" s="297" t="s">
        <v>2430</v>
      </c>
      <c r="I74" s="298"/>
      <c r="J74" s="298"/>
      <c r="K74" s="298"/>
      <c r="L74" s="298"/>
      <c r="M74" s="116"/>
      <c r="N74" s="50"/>
      <c r="P74">
        <v>50</v>
      </c>
      <c r="Q74" t="s">
        <v>1940</v>
      </c>
      <c r="R74">
        <v>17</v>
      </c>
      <c r="Z74" s="27" t="s">
        <v>577</v>
      </c>
    </row>
    <row r="75" spans="1:26" ht="5.0999999999999996" customHeight="1" x14ac:dyDescent="0.2">
      <c r="P75">
        <v>51</v>
      </c>
      <c r="Q75" t="s">
        <v>1943</v>
      </c>
      <c r="R75">
        <v>15</v>
      </c>
      <c r="Z75" s="27" t="s">
        <v>579</v>
      </c>
    </row>
    <row r="76" spans="1:26" hidden="1" x14ac:dyDescent="0.2">
      <c r="P76">
        <v>52</v>
      </c>
      <c r="Q76" t="s">
        <v>1946</v>
      </c>
      <c r="R76">
        <v>8</v>
      </c>
      <c r="Z76" s="27" t="s">
        <v>581</v>
      </c>
    </row>
    <row r="77" spans="1:26" hidden="1" x14ac:dyDescent="0.2">
      <c r="P77">
        <v>53</v>
      </c>
      <c r="Q77" t="s">
        <v>1949</v>
      </c>
      <c r="R77">
        <v>8</v>
      </c>
      <c r="Z77" s="27" t="s">
        <v>583</v>
      </c>
    </row>
    <row r="78" spans="1:26" hidden="1" x14ac:dyDescent="0.2">
      <c r="P78">
        <v>54</v>
      </c>
      <c r="Q78" t="s">
        <v>1952</v>
      </c>
      <c r="R78">
        <v>10</v>
      </c>
      <c r="Z78" s="27" t="s">
        <v>1544</v>
      </c>
    </row>
    <row r="79" spans="1:26" hidden="1" x14ac:dyDescent="0.2">
      <c r="P79">
        <v>55</v>
      </c>
      <c r="Q79" t="s">
        <v>1955</v>
      </c>
      <c r="R79">
        <v>8</v>
      </c>
      <c r="Z79" s="27" t="s">
        <v>1546</v>
      </c>
    </row>
    <row r="80" spans="1:26" hidden="1" x14ac:dyDescent="0.2">
      <c r="P80">
        <v>56</v>
      </c>
      <c r="Q80" t="s">
        <v>1958</v>
      </c>
      <c r="R80">
        <v>10</v>
      </c>
      <c r="Z80" s="27" t="s">
        <v>1548</v>
      </c>
    </row>
    <row r="81" spans="16:26" hidden="1" x14ac:dyDescent="0.2">
      <c r="P81">
        <v>57</v>
      </c>
      <c r="Q81" t="s">
        <v>1961</v>
      </c>
      <c r="R81">
        <v>10</v>
      </c>
      <c r="Z81" s="27" t="s">
        <v>1550</v>
      </c>
    </row>
    <row r="82" spans="16:26" hidden="1" x14ac:dyDescent="0.2">
      <c r="P82">
        <v>58</v>
      </c>
      <c r="Q82" t="s">
        <v>1964</v>
      </c>
      <c r="R82">
        <v>11</v>
      </c>
      <c r="Z82" s="27" t="s">
        <v>1552</v>
      </c>
    </row>
    <row r="83" spans="16:26" hidden="1" x14ac:dyDescent="0.2">
      <c r="P83">
        <v>60</v>
      </c>
      <c r="Q83" t="s">
        <v>1967</v>
      </c>
      <c r="R83">
        <v>20</v>
      </c>
      <c r="Z83" s="27" t="s">
        <v>1554</v>
      </c>
    </row>
    <row r="84" spans="16:26" hidden="1" x14ac:dyDescent="0.2">
      <c r="P84">
        <v>61</v>
      </c>
      <c r="Q84" t="s">
        <v>1970</v>
      </c>
      <c r="R84">
        <v>8</v>
      </c>
      <c r="Z84" s="27" t="s">
        <v>829</v>
      </c>
    </row>
    <row r="85" spans="16:26" hidden="1" x14ac:dyDescent="0.2">
      <c r="P85">
        <v>63</v>
      </c>
      <c r="Q85" t="s">
        <v>1973</v>
      </c>
      <c r="R85">
        <v>7</v>
      </c>
      <c r="Z85" s="27" t="s">
        <v>831</v>
      </c>
    </row>
    <row r="86" spans="16:26" hidden="1" x14ac:dyDescent="0.2">
      <c r="P86">
        <v>64</v>
      </c>
      <c r="Q86" t="s">
        <v>1976</v>
      </c>
      <c r="R86">
        <v>14</v>
      </c>
      <c r="Z86" s="27" t="s">
        <v>833</v>
      </c>
    </row>
    <row r="87" spans="16:26" hidden="1" x14ac:dyDescent="0.2">
      <c r="P87">
        <v>65</v>
      </c>
      <c r="Q87" t="s">
        <v>1979</v>
      </c>
      <c r="R87">
        <v>14</v>
      </c>
      <c r="Z87" s="27" t="s">
        <v>835</v>
      </c>
    </row>
    <row r="88" spans="16:26" hidden="1" x14ac:dyDescent="0.2">
      <c r="P88">
        <v>66</v>
      </c>
      <c r="Q88" t="s">
        <v>1982</v>
      </c>
      <c r="R88">
        <v>14</v>
      </c>
      <c r="Z88" s="27" t="s">
        <v>837</v>
      </c>
    </row>
    <row r="89" spans="16:26" hidden="1" x14ac:dyDescent="0.2">
      <c r="P89">
        <v>67</v>
      </c>
      <c r="Q89" t="s">
        <v>1985</v>
      </c>
      <c r="R89">
        <v>7</v>
      </c>
      <c r="Z89" s="27" t="s">
        <v>839</v>
      </c>
    </row>
    <row r="90" spans="16:26" hidden="1" x14ac:dyDescent="0.2">
      <c r="P90">
        <v>68</v>
      </c>
      <c r="Q90" t="s">
        <v>1988</v>
      </c>
      <c r="R90">
        <v>12</v>
      </c>
      <c r="Z90" s="27" t="s">
        <v>841</v>
      </c>
    </row>
    <row r="91" spans="16:26" hidden="1" x14ac:dyDescent="0.2">
      <c r="P91">
        <v>69</v>
      </c>
      <c r="Q91" t="s">
        <v>1994</v>
      </c>
      <c r="R91">
        <v>8</v>
      </c>
      <c r="Z91" s="27" t="s">
        <v>843</v>
      </c>
    </row>
    <row r="92" spans="16:26" hidden="1" x14ac:dyDescent="0.2">
      <c r="P92">
        <v>70</v>
      </c>
      <c r="Q92" t="s">
        <v>1997</v>
      </c>
      <c r="R92">
        <v>2</v>
      </c>
      <c r="Z92" s="27" t="s">
        <v>2463</v>
      </c>
    </row>
    <row r="93" spans="16:26" hidden="1" x14ac:dyDescent="0.2">
      <c r="P93">
        <v>71</v>
      </c>
      <c r="Q93" t="s">
        <v>2000</v>
      </c>
      <c r="R93">
        <v>7</v>
      </c>
      <c r="Z93" s="27" t="s">
        <v>2292</v>
      </c>
    </row>
    <row r="94" spans="16:26" hidden="1" x14ac:dyDescent="0.2">
      <c r="P94">
        <v>72</v>
      </c>
      <c r="Q94" t="s">
        <v>2003</v>
      </c>
      <c r="R94">
        <v>17</v>
      </c>
      <c r="Z94" s="27" t="s">
        <v>2294</v>
      </c>
    </row>
    <row r="95" spans="16:26" hidden="1" x14ac:dyDescent="0.2">
      <c r="P95">
        <v>74</v>
      </c>
      <c r="Q95" t="s">
        <v>2006</v>
      </c>
      <c r="R95">
        <v>8</v>
      </c>
      <c r="Z95" s="27" t="s">
        <v>2296</v>
      </c>
    </row>
    <row r="96" spans="16:26" hidden="1" x14ac:dyDescent="0.2">
      <c r="P96">
        <v>75</v>
      </c>
      <c r="Q96" t="s">
        <v>2009</v>
      </c>
      <c r="R96">
        <v>20</v>
      </c>
      <c r="Z96" s="27" t="s">
        <v>2271</v>
      </c>
    </row>
    <row r="97" spans="16:26" hidden="1" x14ac:dyDescent="0.2">
      <c r="P97">
        <v>77</v>
      </c>
      <c r="Q97" t="s">
        <v>1632</v>
      </c>
      <c r="R97">
        <v>17</v>
      </c>
      <c r="Z97" s="27" t="s">
        <v>2273</v>
      </c>
    </row>
    <row r="98" spans="16:26" hidden="1" x14ac:dyDescent="0.2">
      <c r="P98">
        <v>78</v>
      </c>
      <c r="Q98" t="s">
        <v>2301</v>
      </c>
      <c r="R98">
        <v>20</v>
      </c>
      <c r="Z98" s="27" t="s">
        <v>1657</v>
      </c>
    </row>
    <row r="99" spans="16:26" hidden="1" x14ac:dyDescent="0.2">
      <c r="P99">
        <v>79</v>
      </c>
      <c r="Q99" t="s">
        <v>2307</v>
      </c>
      <c r="R99">
        <v>2</v>
      </c>
      <c r="Z99" s="27" t="s">
        <v>1659</v>
      </c>
    </row>
    <row r="100" spans="16:26" hidden="1" x14ac:dyDescent="0.2">
      <c r="P100">
        <v>80</v>
      </c>
      <c r="Q100" t="s">
        <v>2310</v>
      </c>
      <c r="R100">
        <v>5</v>
      </c>
      <c r="Z100" s="27" t="s">
        <v>1661</v>
      </c>
    </row>
    <row r="101" spans="16:26" hidden="1" x14ac:dyDescent="0.2">
      <c r="P101">
        <v>81</v>
      </c>
      <c r="Q101" t="s">
        <v>1670</v>
      </c>
      <c r="R101">
        <v>12</v>
      </c>
      <c r="Z101" s="27" t="s">
        <v>1663</v>
      </c>
    </row>
    <row r="102" spans="16:26" hidden="1" x14ac:dyDescent="0.2">
      <c r="P102">
        <v>82</v>
      </c>
      <c r="Q102" t="s">
        <v>1673</v>
      </c>
      <c r="R102">
        <v>20</v>
      </c>
      <c r="Z102" s="27" t="s">
        <v>1665</v>
      </c>
    </row>
    <row r="103" spans="16:26" hidden="1" x14ac:dyDescent="0.2">
      <c r="P103">
        <v>83</v>
      </c>
      <c r="Q103" t="s">
        <v>1676</v>
      </c>
      <c r="R103">
        <v>3</v>
      </c>
      <c r="Z103" s="27" t="s">
        <v>1667</v>
      </c>
    </row>
    <row r="104" spans="16:26" hidden="1" x14ac:dyDescent="0.2">
      <c r="P104">
        <v>84</v>
      </c>
      <c r="Q104" t="s">
        <v>1679</v>
      </c>
      <c r="R104">
        <v>9</v>
      </c>
      <c r="Z104" s="27" t="s">
        <v>731</v>
      </c>
    </row>
    <row r="105" spans="16:26" hidden="1" x14ac:dyDescent="0.2">
      <c r="P105">
        <v>85</v>
      </c>
      <c r="Q105" t="s">
        <v>1682</v>
      </c>
      <c r="R105">
        <v>5</v>
      </c>
      <c r="Z105" s="27" t="s">
        <v>733</v>
      </c>
    </row>
    <row r="106" spans="16:26" hidden="1" x14ac:dyDescent="0.2">
      <c r="P106">
        <v>86</v>
      </c>
      <c r="Q106" t="s">
        <v>1685</v>
      </c>
      <c r="R106">
        <v>14</v>
      </c>
      <c r="Z106" s="27" t="s">
        <v>735</v>
      </c>
    </row>
    <row r="107" spans="16:26" hidden="1" x14ac:dyDescent="0.2">
      <c r="P107">
        <v>87</v>
      </c>
      <c r="Q107" t="s">
        <v>1707</v>
      </c>
      <c r="R107">
        <v>17</v>
      </c>
      <c r="Z107" s="27" t="s">
        <v>737</v>
      </c>
    </row>
    <row r="108" spans="16:26" hidden="1" x14ac:dyDescent="0.2">
      <c r="P108">
        <v>88</v>
      </c>
      <c r="Q108" t="s">
        <v>1195</v>
      </c>
      <c r="R108">
        <v>17</v>
      </c>
      <c r="Z108" s="27" t="s">
        <v>739</v>
      </c>
    </row>
    <row r="109" spans="16:26" hidden="1" x14ac:dyDescent="0.2">
      <c r="P109">
        <v>89</v>
      </c>
      <c r="Q109" t="s">
        <v>1688</v>
      </c>
      <c r="R109">
        <v>20</v>
      </c>
      <c r="Z109" s="27" t="s">
        <v>2543</v>
      </c>
    </row>
    <row r="110" spans="16:26" hidden="1" x14ac:dyDescent="0.2">
      <c r="P110">
        <v>90</v>
      </c>
      <c r="Q110" t="s">
        <v>1694</v>
      </c>
      <c r="R110">
        <v>4</v>
      </c>
      <c r="Z110" s="27" t="s">
        <v>2545</v>
      </c>
    </row>
    <row r="111" spans="16:26" hidden="1" x14ac:dyDescent="0.2">
      <c r="P111">
        <v>91</v>
      </c>
      <c r="Q111" t="s">
        <v>1697</v>
      </c>
      <c r="R111">
        <v>14</v>
      </c>
      <c r="Z111" s="27" t="s">
        <v>2547</v>
      </c>
    </row>
    <row r="112" spans="16:26" hidden="1" x14ac:dyDescent="0.2">
      <c r="P112">
        <v>92</v>
      </c>
      <c r="Q112" t="s">
        <v>1700</v>
      </c>
      <c r="R112">
        <v>16</v>
      </c>
      <c r="Z112" s="27" t="s">
        <v>2549</v>
      </c>
    </row>
    <row r="113" spans="16:26" hidden="1" x14ac:dyDescent="0.2">
      <c r="P113">
        <v>94</v>
      </c>
      <c r="Q113" t="s">
        <v>1703</v>
      </c>
      <c r="R113">
        <v>14</v>
      </c>
      <c r="Z113" s="27" t="s">
        <v>2551</v>
      </c>
    </row>
    <row r="114" spans="16:26" hidden="1" x14ac:dyDescent="0.2">
      <c r="P114">
        <v>95</v>
      </c>
      <c r="Q114" t="s">
        <v>1706</v>
      </c>
      <c r="R114">
        <v>15</v>
      </c>
      <c r="Z114" s="27" t="s">
        <v>2553</v>
      </c>
    </row>
    <row r="115" spans="16:26" hidden="1" x14ac:dyDescent="0.2">
      <c r="P115">
        <v>96</v>
      </c>
      <c r="Q115" t="s">
        <v>1709</v>
      </c>
      <c r="R115">
        <v>6</v>
      </c>
      <c r="Z115" s="27" t="s">
        <v>2555</v>
      </c>
    </row>
    <row r="116" spans="16:26" hidden="1" x14ac:dyDescent="0.2">
      <c r="P116">
        <v>97</v>
      </c>
      <c r="Q116" t="s">
        <v>1712</v>
      </c>
      <c r="R116">
        <v>1</v>
      </c>
      <c r="Z116" s="27" t="s">
        <v>2644</v>
      </c>
    </row>
    <row r="117" spans="16:26" hidden="1" x14ac:dyDescent="0.2">
      <c r="P117">
        <v>98</v>
      </c>
      <c r="Q117" t="s">
        <v>1380</v>
      </c>
      <c r="R117">
        <v>19</v>
      </c>
      <c r="Z117" s="27" t="s">
        <v>2646</v>
      </c>
    </row>
    <row r="118" spans="16:26" hidden="1" x14ac:dyDescent="0.2">
      <c r="P118">
        <v>99</v>
      </c>
      <c r="Q118" t="s">
        <v>1383</v>
      </c>
      <c r="R118">
        <v>4</v>
      </c>
      <c r="Z118" s="27" t="s">
        <v>2648</v>
      </c>
    </row>
    <row r="119" spans="16:26" hidden="1" x14ac:dyDescent="0.2">
      <c r="P119">
        <v>100</v>
      </c>
      <c r="Q119" t="s">
        <v>1386</v>
      </c>
      <c r="R119">
        <v>17</v>
      </c>
      <c r="Z119" s="27" t="s">
        <v>2650</v>
      </c>
    </row>
    <row r="120" spans="16:26" hidden="1" x14ac:dyDescent="0.2">
      <c r="P120">
        <v>101</v>
      </c>
      <c r="Q120" t="s">
        <v>2441</v>
      </c>
      <c r="R120">
        <v>1</v>
      </c>
      <c r="Z120" s="27" t="s">
        <v>2652</v>
      </c>
    </row>
    <row r="121" spans="16:26" hidden="1" x14ac:dyDescent="0.2">
      <c r="P121">
        <v>102</v>
      </c>
      <c r="Q121" t="s">
        <v>2447</v>
      </c>
      <c r="R121">
        <v>3</v>
      </c>
      <c r="Z121" s="27" t="s">
        <v>2654</v>
      </c>
    </row>
    <row r="122" spans="16:26" hidden="1" x14ac:dyDescent="0.2">
      <c r="P122">
        <v>103</v>
      </c>
      <c r="Q122" t="s">
        <v>2450</v>
      </c>
      <c r="R122">
        <v>14</v>
      </c>
      <c r="Z122" s="27" t="s">
        <v>2656</v>
      </c>
    </row>
    <row r="123" spans="16:26" hidden="1" x14ac:dyDescent="0.2">
      <c r="P123">
        <v>104</v>
      </c>
      <c r="Q123" t="s">
        <v>2453</v>
      </c>
      <c r="R123">
        <v>6</v>
      </c>
      <c r="Z123" s="27" t="s">
        <v>2658</v>
      </c>
    </row>
    <row r="124" spans="16:26" hidden="1" x14ac:dyDescent="0.2">
      <c r="P124">
        <v>105</v>
      </c>
      <c r="Q124" t="s">
        <v>2456</v>
      </c>
      <c r="R124">
        <v>7</v>
      </c>
      <c r="Z124" s="27" t="s">
        <v>2660</v>
      </c>
    </row>
    <row r="125" spans="16:26" hidden="1" x14ac:dyDescent="0.2">
      <c r="P125">
        <v>106</v>
      </c>
      <c r="Q125" t="s">
        <v>2459</v>
      </c>
      <c r="R125">
        <v>14</v>
      </c>
      <c r="Z125" s="27" t="s">
        <v>2662</v>
      </c>
    </row>
    <row r="126" spans="16:26" hidden="1" x14ac:dyDescent="0.2">
      <c r="P126">
        <v>107</v>
      </c>
      <c r="Q126" t="s">
        <v>152</v>
      </c>
      <c r="R126">
        <v>6</v>
      </c>
      <c r="Z126" s="27" t="s">
        <v>2664</v>
      </c>
    </row>
    <row r="127" spans="16:26" hidden="1" x14ac:dyDescent="0.2">
      <c r="P127">
        <v>108</v>
      </c>
      <c r="Q127" t="s">
        <v>2419</v>
      </c>
      <c r="R127">
        <v>2</v>
      </c>
      <c r="Z127" s="27" t="s">
        <v>2666</v>
      </c>
    </row>
    <row r="128" spans="16:26" hidden="1" x14ac:dyDescent="0.2">
      <c r="P128">
        <v>110</v>
      </c>
      <c r="Q128" t="s">
        <v>2422</v>
      </c>
      <c r="R128">
        <v>14</v>
      </c>
      <c r="Z128" s="27" t="s">
        <v>2668</v>
      </c>
    </row>
    <row r="129" spans="16:26" hidden="1" x14ac:dyDescent="0.2">
      <c r="P129">
        <v>111</v>
      </c>
      <c r="Q129" t="s">
        <v>264</v>
      </c>
      <c r="R129">
        <v>14</v>
      </c>
      <c r="Z129" s="27" t="s">
        <v>2670</v>
      </c>
    </row>
    <row r="130" spans="16:26" hidden="1" x14ac:dyDescent="0.2">
      <c r="P130">
        <v>113</v>
      </c>
      <c r="Q130" t="s">
        <v>267</v>
      </c>
      <c r="R130">
        <v>15</v>
      </c>
      <c r="Z130" s="27" t="s">
        <v>2672</v>
      </c>
    </row>
    <row r="131" spans="16:26" hidden="1" x14ac:dyDescent="0.2">
      <c r="P131">
        <v>114</v>
      </c>
      <c r="Q131" t="s">
        <v>269</v>
      </c>
      <c r="R131">
        <v>1</v>
      </c>
      <c r="Z131" s="27" t="s">
        <v>2674</v>
      </c>
    </row>
    <row r="132" spans="16:26" hidden="1" x14ac:dyDescent="0.2">
      <c r="P132">
        <v>115</v>
      </c>
      <c r="Q132" t="s">
        <v>275</v>
      </c>
      <c r="R132">
        <v>6</v>
      </c>
      <c r="Z132" s="27" t="s">
        <v>2676</v>
      </c>
    </row>
    <row r="133" spans="16:26" hidden="1" x14ac:dyDescent="0.2">
      <c r="P133">
        <v>116</v>
      </c>
      <c r="Q133" t="s">
        <v>278</v>
      </c>
      <c r="R133">
        <v>14</v>
      </c>
      <c r="Z133" s="27" t="s">
        <v>2678</v>
      </c>
    </row>
    <row r="134" spans="16:26" hidden="1" x14ac:dyDescent="0.2">
      <c r="P134">
        <v>117</v>
      </c>
      <c r="Q134" t="s">
        <v>284</v>
      </c>
      <c r="R134">
        <v>8</v>
      </c>
      <c r="Z134" s="27" t="s">
        <v>2680</v>
      </c>
    </row>
    <row r="135" spans="16:26" hidden="1" x14ac:dyDescent="0.2">
      <c r="P135">
        <v>118</v>
      </c>
      <c r="Q135" t="s">
        <v>290</v>
      </c>
      <c r="R135">
        <v>12</v>
      </c>
      <c r="Z135" s="27" t="s">
        <v>2682</v>
      </c>
    </row>
    <row r="136" spans="16:26" hidden="1" x14ac:dyDescent="0.2">
      <c r="P136">
        <v>119</v>
      </c>
      <c r="Q136" t="s">
        <v>1207</v>
      </c>
      <c r="R136">
        <v>7</v>
      </c>
      <c r="Z136" s="27" t="s">
        <v>35</v>
      </c>
    </row>
    <row r="137" spans="16:26" hidden="1" x14ac:dyDescent="0.2">
      <c r="P137">
        <v>120</v>
      </c>
      <c r="Q137" t="s">
        <v>1210</v>
      </c>
      <c r="R137">
        <v>4</v>
      </c>
      <c r="Z137" s="27" t="s">
        <v>37</v>
      </c>
    </row>
    <row r="138" spans="16:26" hidden="1" x14ac:dyDescent="0.2">
      <c r="P138">
        <v>121</v>
      </c>
      <c r="Q138" t="s">
        <v>1213</v>
      </c>
      <c r="R138">
        <v>3</v>
      </c>
      <c r="Z138" s="27" t="s">
        <v>1819</v>
      </c>
    </row>
    <row r="139" spans="16:26" hidden="1" x14ac:dyDescent="0.2">
      <c r="P139">
        <v>122</v>
      </c>
      <c r="Q139" t="s">
        <v>1216</v>
      </c>
      <c r="R139">
        <v>6</v>
      </c>
      <c r="Z139" s="27" t="s">
        <v>1821</v>
      </c>
    </row>
    <row r="140" spans="16:26" hidden="1" x14ac:dyDescent="0.2">
      <c r="P140">
        <v>123</v>
      </c>
      <c r="Q140" t="s">
        <v>1219</v>
      </c>
      <c r="R140">
        <v>20</v>
      </c>
      <c r="Z140" s="27" t="s">
        <v>2106</v>
      </c>
    </row>
    <row r="141" spans="16:26" hidden="1" x14ac:dyDescent="0.2">
      <c r="P141">
        <v>124</v>
      </c>
      <c r="Q141" t="s">
        <v>1222</v>
      </c>
      <c r="R141">
        <v>14</v>
      </c>
      <c r="Z141" s="27" t="s">
        <v>2108</v>
      </c>
    </row>
    <row r="142" spans="16:26" hidden="1" x14ac:dyDescent="0.2">
      <c r="P142">
        <v>125</v>
      </c>
      <c r="Q142" t="s">
        <v>59</v>
      </c>
      <c r="R142">
        <v>2</v>
      </c>
      <c r="Z142" s="27" t="s">
        <v>2110</v>
      </c>
    </row>
    <row r="143" spans="16:26" hidden="1" x14ac:dyDescent="0.2">
      <c r="P143">
        <v>127</v>
      </c>
      <c r="Q143" t="s">
        <v>65</v>
      </c>
      <c r="R143">
        <v>12</v>
      </c>
      <c r="Z143" s="27" t="s">
        <v>2112</v>
      </c>
    </row>
    <row r="144" spans="16:26" hidden="1" x14ac:dyDescent="0.2">
      <c r="P144">
        <v>129</v>
      </c>
      <c r="Q144" t="s">
        <v>148</v>
      </c>
      <c r="R144">
        <v>5</v>
      </c>
      <c r="Z144" s="27" t="s">
        <v>2114</v>
      </c>
    </row>
    <row r="145" spans="16:26" hidden="1" x14ac:dyDescent="0.2">
      <c r="P145">
        <v>130</v>
      </c>
      <c r="Q145" t="s">
        <v>1253</v>
      </c>
      <c r="R145">
        <v>9</v>
      </c>
      <c r="Z145" s="27" t="s">
        <v>347</v>
      </c>
    </row>
    <row r="146" spans="16:26" hidden="1" x14ac:dyDescent="0.2">
      <c r="P146">
        <v>131</v>
      </c>
      <c r="Q146" t="s">
        <v>1256</v>
      </c>
      <c r="R146">
        <v>13</v>
      </c>
      <c r="Z146" s="27" t="s">
        <v>349</v>
      </c>
    </row>
    <row r="147" spans="16:26" hidden="1" x14ac:dyDescent="0.2">
      <c r="P147">
        <v>132</v>
      </c>
      <c r="Q147" t="s">
        <v>1259</v>
      </c>
      <c r="R147">
        <v>18</v>
      </c>
      <c r="Z147" s="27" t="s">
        <v>351</v>
      </c>
    </row>
    <row r="148" spans="16:26" hidden="1" x14ac:dyDescent="0.2">
      <c r="P148">
        <v>133</v>
      </c>
      <c r="Q148" t="s">
        <v>531</v>
      </c>
      <c r="R148">
        <v>21</v>
      </c>
      <c r="Z148" s="27" t="s">
        <v>353</v>
      </c>
    </row>
    <row r="149" spans="16:26" hidden="1" x14ac:dyDescent="0.2">
      <c r="P149">
        <v>134</v>
      </c>
      <c r="Q149" t="s">
        <v>1262</v>
      </c>
      <c r="R149">
        <v>17</v>
      </c>
      <c r="Z149" s="27" t="s">
        <v>355</v>
      </c>
    </row>
    <row r="150" spans="16:26" hidden="1" x14ac:dyDescent="0.2">
      <c r="P150">
        <v>135</v>
      </c>
      <c r="Q150" t="s">
        <v>1265</v>
      </c>
      <c r="R150">
        <v>1</v>
      </c>
      <c r="Z150" s="27" t="s">
        <v>357</v>
      </c>
    </row>
    <row r="151" spans="16:26" hidden="1" x14ac:dyDescent="0.2">
      <c r="P151">
        <v>136</v>
      </c>
      <c r="Q151" t="s">
        <v>1268</v>
      </c>
      <c r="R151">
        <v>10</v>
      </c>
      <c r="Z151" s="27" t="s">
        <v>359</v>
      </c>
    </row>
    <row r="152" spans="16:26" hidden="1" x14ac:dyDescent="0.2">
      <c r="P152">
        <v>137</v>
      </c>
      <c r="Q152" t="s">
        <v>1271</v>
      </c>
      <c r="R152">
        <v>16</v>
      </c>
      <c r="Z152" s="27" t="s">
        <v>361</v>
      </c>
    </row>
    <row r="153" spans="16:26" hidden="1" x14ac:dyDescent="0.2">
      <c r="P153">
        <v>138</v>
      </c>
      <c r="Q153" t="s">
        <v>1274</v>
      </c>
      <c r="R153">
        <v>18</v>
      </c>
      <c r="Z153" s="27" t="s">
        <v>363</v>
      </c>
    </row>
    <row r="154" spans="16:26" hidden="1" x14ac:dyDescent="0.2">
      <c r="P154">
        <v>139</v>
      </c>
      <c r="Q154" t="s">
        <v>1277</v>
      </c>
      <c r="R154">
        <v>7</v>
      </c>
      <c r="Z154" s="27" t="s">
        <v>987</v>
      </c>
    </row>
    <row r="155" spans="16:26" hidden="1" x14ac:dyDescent="0.2">
      <c r="P155">
        <v>140</v>
      </c>
      <c r="Q155" t="s">
        <v>1280</v>
      </c>
      <c r="R155">
        <v>12</v>
      </c>
      <c r="Z155" s="27" t="s">
        <v>989</v>
      </c>
    </row>
    <row r="156" spans="16:26" hidden="1" x14ac:dyDescent="0.2">
      <c r="P156">
        <v>141</v>
      </c>
      <c r="Q156" t="s">
        <v>1283</v>
      </c>
      <c r="R156">
        <v>16</v>
      </c>
      <c r="Z156" s="27" t="s">
        <v>991</v>
      </c>
    </row>
    <row r="157" spans="16:26" hidden="1" x14ac:dyDescent="0.2">
      <c r="P157">
        <v>144</v>
      </c>
      <c r="Q157" t="s">
        <v>1578</v>
      </c>
      <c r="R157">
        <v>7</v>
      </c>
      <c r="Z157" s="27" t="s">
        <v>993</v>
      </c>
    </row>
    <row r="158" spans="16:26" hidden="1" x14ac:dyDescent="0.2">
      <c r="P158">
        <v>145</v>
      </c>
      <c r="Q158" t="s">
        <v>1581</v>
      </c>
      <c r="R158">
        <v>6</v>
      </c>
      <c r="Z158" s="27" t="s">
        <v>995</v>
      </c>
    </row>
    <row r="159" spans="16:26" hidden="1" x14ac:dyDescent="0.2">
      <c r="P159">
        <v>146</v>
      </c>
      <c r="Q159" t="s">
        <v>1584</v>
      </c>
      <c r="R159">
        <v>2</v>
      </c>
      <c r="Z159" s="27" t="s">
        <v>997</v>
      </c>
    </row>
    <row r="160" spans="16:26" hidden="1" x14ac:dyDescent="0.2">
      <c r="P160">
        <v>148</v>
      </c>
      <c r="Q160" t="s">
        <v>1587</v>
      </c>
      <c r="R160">
        <v>17</v>
      </c>
      <c r="Z160" s="27" t="s">
        <v>999</v>
      </c>
    </row>
    <row r="161" spans="16:26" hidden="1" x14ac:dyDescent="0.2">
      <c r="P161">
        <v>149</v>
      </c>
      <c r="Q161" t="s">
        <v>1288</v>
      </c>
      <c r="R161">
        <v>3</v>
      </c>
      <c r="Z161" s="27" t="s">
        <v>1001</v>
      </c>
    </row>
    <row r="162" spans="16:26" hidden="1" x14ac:dyDescent="0.2">
      <c r="P162">
        <v>150</v>
      </c>
      <c r="Q162" t="s">
        <v>1291</v>
      </c>
      <c r="R162">
        <v>3</v>
      </c>
      <c r="Z162" s="27" t="s">
        <v>1003</v>
      </c>
    </row>
    <row r="163" spans="16:26" hidden="1" x14ac:dyDescent="0.2">
      <c r="P163">
        <v>151</v>
      </c>
      <c r="Q163" t="s">
        <v>1641</v>
      </c>
      <c r="R163">
        <v>5</v>
      </c>
      <c r="Z163" s="27" t="s">
        <v>1005</v>
      </c>
    </row>
    <row r="164" spans="16:26" hidden="1" x14ac:dyDescent="0.2">
      <c r="P164">
        <v>152</v>
      </c>
      <c r="Q164" t="s">
        <v>1294</v>
      </c>
      <c r="R164">
        <v>2</v>
      </c>
      <c r="Z164" s="27" t="s">
        <v>1007</v>
      </c>
    </row>
    <row r="165" spans="16:26" hidden="1" x14ac:dyDescent="0.2">
      <c r="P165">
        <v>153</v>
      </c>
      <c r="Q165" t="s">
        <v>1297</v>
      </c>
      <c r="R165">
        <v>17</v>
      </c>
      <c r="Z165" s="27" t="s">
        <v>90</v>
      </c>
    </row>
    <row r="166" spans="16:26" hidden="1" x14ac:dyDescent="0.2">
      <c r="P166">
        <v>154</v>
      </c>
      <c r="Q166" t="s">
        <v>1300</v>
      </c>
      <c r="R166">
        <v>16</v>
      </c>
      <c r="Z166" s="27" t="s">
        <v>92</v>
      </c>
    </row>
    <row r="167" spans="16:26" hidden="1" x14ac:dyDescent="0.2">
      <c r="P167">
        <v>155</v>
      </c>
      <c r="Q167" t="s">
        <v>1303</v>
      </c>
      <c r="R167">
        <v>17</v>
      </c>
      <c r="Z167" s="27" t="s">
        <v>94</v>
      </c>
    </row>
    <row r="168" spans="16:26" hidden="1" x14ac:dyDescent="0.2">
      <c r="P168">
        <v>156</v>
      </c>
      <c r="Q168" t="s">
        <v>1306</v>
      </c>
      <c r="R168">
        <v>5</v>
      </c>
      <c r="Z168" s="27" t="s">
        <v>2223</v>
      </c>
    </row>
    <row r="169" spans="16:26" hidden="1" x14ac:dyDescent="0.2">
      <c r="P169">
        <v>158</v>
      </c>
      <c r="Q169" t="s">
        <v>1309</v>
      </c>
      <c r="R169">
        <v>1</v>
      </c>
      <c r="Z169" s="27" t="s">
        <v>2225</v>
      </c>
    </row>
    <row r="170" spans="16:26" hidden="1" x14ac:dyDescent="0.2">
      <c r="P170">
        <v>159</v>
      </c>
      <c r="Q170" t="s">
        <v>1312</v>
      </c>
      <c r="R170">
        <v>16</v>
      </c>
      <c r="Z170" s="27" t="s">
        <v>2227</v>
      </c>
    </row>
    <row r="171" spans="16:26" hidden="1" x14ac:dyDescent="0.2">
      <c r="P171">
        <v>161</v>
      </c>
      <c r="Q171" t="s">
        <v>1315</v>
      </c>
      <c r="R171">
        <v>7</v>
      </c>
      <c r="Z171" s="27" t="s">
        <v>2229</v>
      </c>
    </row>
    <row r="172" spans="16:26" hidden="1" x14ac:dyDescent="0.2">
      <c r="P172">
        <v>163</v>
      </c>
      <c r="Q172" t="s">
        <v>1321</v>
      </c>
      <c r="R172">
        <v>1</v>
      </c>
      <c r="Z172" s="27" t="s">
        <v>2231</v>
      </c>
    </row>
    <row r="173" spans="16:26" hidden="1" x14ac:dyDescent="0.2">
      <c r="P173">
        <v>164</v>
      </c>
      <c r="Q173" t="s">
        <v>1324</v>
      </c>
      <c r="R173">
        <v>11</v>
      </c>
      <c r="Z173" s="27" t="s">
        <v>2233</v>
      </c>
    </row>
    <row r="174" spans="16:26" hidden="1" x14ac:dyDescent="0.2">
      <c r="P174">
        <v>165</v>
      </c>
      <c r="Q174" t="s">
        <v>1327</v>
      </c>
      <c r="R174">
        <v>5</v>
      </c>
      <c r="Z174" s="27" t="s">
        <v>2235</v>
      </c>
    </row>
    <row r="175" spans="16:26" hidden="1" x14ac:dyDescent="0.2">
      <c r="P175">
        <v>166</v>
      </c>
      <c r="Q175" t="s">
        <v>1333</v>
      </c>
      <c r="R175">
        <v>16</v>
      </c>
      <c r="Z175" s="27" t="s">
        <v>2237</v>
      </c>
    </row>
    <row r="176" spans="16:26" hidden="1" x14ac:dyDescent="0.2">
      <c r="P176">
        <v>167</v>
      </c>
      <c r="Q176" t="s">
        <v>229</v>
      </c>
      <c r="R176">
        <v>13</v>
      </c>
      <c r="Z176" s="27" t="s">
        <v>2239</v>
      </c>
    </row>
    <row r="177" spans="16:26" hidden="1" x14ac:dyDescent="0.2">
      <c r="P177">
        <v>168</v>
      </c>
      <c r="Q177" t="s">
        <v>232</v>
      </c>
      <c r="R177">
        <v>3</v>
      </c>
      <c r="Z177" s="27" t="s">
        <v>2241</v>
      </c>
    </row>
    <row r="178" spans="16:26" hidden="1" x14ac:dyDescent="0.2">
      <c r="P178">
        <v>169</v>
      </c>
      <c r="Q178" t="s">
        <v>520</v>
      </c>
      <c r="R178">
        <v>1</v>
      </c>
      <c r="Z178" s="27" t="s">
        <v>2243</v>
      </c>
    </row>
    <row r="179" spans="16:26" hidden="1" x14ac:dyDescent="0.2">
      <c r="P179">
        <v>170</v>
      </c>
      <c r="Q179" t="s">
        <v>523</v>
      </c>
      <c r="R179">
        <v>8</v>
      </c>
      <c r="Z179" s="27" t="s">
        <v>2245</v>
      </c>
    </row>
    <row r="180" spans="16:26" hidden="1" x14ac:dyDescent="0.2">
      <c r="P180">
        <v>171</v>
      </c>
      <c r="Q180" t="s">
        <v>526</v>
      </c>
      <c r="R180">
        <v>17</v>
      </c>
      <c r="Z180" s="27" t="s">
        <v>1051</v>
      </c>
    </row>
    <row r="181" spans="16:26" hidden="1" x14ac:dyDescent="0.2">
      <c r="P181">
        <v>172</v>
      </c>
      <c r="Q181" t="s">
        <v>532</v>
      </c>
      <c r="R181">
        <v>4</v>
      </c>
      <c r="Z181" s="27" t="s">
        <v>1053</v>
      </c>
    </row>
    <row r="182" spans="16:26" hidden="1" x14ac:dyDescent="0.2">
      <c r="P182">
        <v>173</v>
      </c>
      <c r="Q182" t="s">
        <v>535</v>
      </c>
      <c r="R182">
        <v>13</v>
      </c>
      <c r="Z182" s="27" t="s">
        <v>1055</v>
      </c>
    </row>
    <row r="183" spans="16:26" hidden="1" x14ac:dyDescent="0.2">
      <c r="P183">
        <v>175</v>
      </c>
      <c r="Q183" t="s">
        <v>547</v>
      </c>
      <c r="R183">
        <v>18</v>
      </c>
      <c r="Z183" s="27" t="s">
        <v>1057</v>
      </c>
    </row>
    <row r="184" spans="16:26" hidden="1" x14ac:dyDescent="0.2">
      <c r="P184">
        <v>176</v>
      </c>
      <c r="Q184" t="s">
        <v>550</v>
      </c>
      <c r="R184">
        <v>7</v>
      </c>
      <c r="Z184" s="27" t="s">
        <v>1059</v>
      </c>
    </row>
    <row r="185" spans="16:26" hidden="1" x14ac:dyDescent="0.2">
      <c r="P185">
        <v>177</v>
      </c>
      <c r="Q185" t="s">
        <v>553</v>
      </c>
      <c r="R185">
        <v>11</v>
      </c>
      <c r="Z185" s="27" t="s">
        <v>1061</v>
      </c>
    </row>
    <row r="186" spans="16:26" hidden="1" x14ac:dyDescent="0.2">
      <c r="P186">
        <v>178</v>
      </c>
      <c r="Q186" t="s">
        <v>556</v>
      </c>
      <c r="R186">
        <v>9</v>
      </c>
      <c r="Z186" s="27" t="s">
        <v>1063</v>
      </c>
    </row>
    <row r="187" spans="16:26" hidden="1" x14ac:dyDescent="0.2">
      <c r="P187">
        <v>179</v>
      </c>
      <c r="Q187" t="s">
        <v>2264</v>
      </c>
      <c r="R187">
        <v>4</v>
      </c>
      <c r="Z187" s="27" t="s">
        <v>1065</v>
      </c>
    </row>
    <row r="188" spans="16:26" hidden="1" x14ac:dyDescent="0.2">
      <c r="P188">
        <v>180</v>
      </c>
      <c r="Q188" t="s">
        <v>234</v>
      </c>
      <c r="R188">
        <v>8</v>
      </c>
      <c r="Z188" s="27" t="s">
        <v>1501</v>
      </c>
    </row>
    <row r="189" spans="16:26" hidden="1" x14ac:dyDescent="0.2">
      <c r="P189">
        <v>181</v>
      </c>
      <c r="Q189" t="s">
        <v>237</v>
      </c>
      <c r="R189">
        <v>17</v>
      </c>
      <c r="Z189" s="27" t="s">
        <v>1503</v>
      </c>
    </row>
    <row r="190" spans="16:26" hidden="1" x14ac:dyDescent="0.2">
      <c r="P190">
        <v>183</v>
      </c>
      <c r="Q190" t="s">
        <v>243</v>
      </c>
      <c r="R190">
        <v>15</v>
      </c>
      <c r="Z190" s="27" t="s">
        <v>1226</v>
      </c>
    </row>
    <row r="191" spans="16:26" hidden="1" x14ac:dyDescent="0.2">
      <c r="P191">
        <v>184</v>
      </c>
      <c r="Q191" t="s">
        <v>245</v>
      </c>
      <c r="R191">
        <v>15</v>
      </c>
      <c r="Z191" s="27" t="s">
        <v>2352</v>
      </c>
    </row>
    <row r="192" spans="16:26" hidden="1" x14ac:dyDescent="0.2">
      <c r="P192">
        <v>185</v>
      </c>
      <c r="Q192" t="s">
        <v>1194</v>
      </c>
      <c r="R192">
        <v>12</v>
      </c>
      <c r="Z192" s="27" t="s">
        <v>2354</v>
      </c>
    </row>
    <row r="193" spans="16:26" hidden="1" x14ac:dyDescent="0.2">
      <c r="P193">
        <v>186</v>
      </c>
      <c r="Q193" t="s">
        <v>1197</v>
      </c>
      <c r="R193">
        <v>8</v>
      </c>
      <c r="Z193" s="27" t="s">
        <v>2356</v>
      </c>
    </row>
    <row r="194" spans="16:26" hidden="1" x14ac:dyDescent="0.2">
      <c r="P194">
        <v>187</v>
      </c>
      <c r="Q194" t="s">
        <v>1200</v>
      </c>
      <c r="R194">
        <v>2</v>
      </c>
      <c r="Z194" s="27" t="s">
        <v>2358</v>
      </c>
    </row>
    <row r="195" spans="16:26" hidden="1" x14ac:dyDescent="0.2">
      <c r="P195">
        <v>189</v>
      </c>
      <c r="Q195" t="s">
        <v>1846</v>
      </c>
      <c r="R195">
        <v>5</v>
      </c>
      <c r="Z195" s="27" t="s">
        <v>2360</v>
      </c>
    </row>
    <row r="196" spans="16:26" hidden="1" x14ac:dyDescent="0.2">
      <c r="P196">
        <v>190</v>
      </c>
      <c r="Q196" t="s">
        <v>1849</v>
      </c>
      <c r="R196">
        <v>1</v>
      </c>
      <c r="Z196" s="27" t="s">
        <v>2362</v>
      </c>
    </row>
    <row r="197" spans="16:26" hidden="1" x14ac:dyDescent="0.2">
      <c r="P197">
        <v>192</v>
      </c>
      <c r="Q197" t="s">
        <v>1852</v>
      </c>
      <c r="R197">
        <v>17</v>
      </c>
      <c r="Z197" s="27" t="s">
        <v>2364</v>
      </c>
    </row>
    <row r="198" spans="16:26" hidden="1" x14ac:dyDescent="0.2">
      <c r="P198">
        <v>193</v>
      </c>
      <c r="Q198" t="s">
        <v>1855</v>
      </c>
      <c r="R198">
        <v>1</v>
      </c>
      <c r="Z198" s="27" t="s">
        <v>614</v>
      </c>
    </row>
    <row r="199" spans="16:26" hidden="1" x14ac:dyDescent="0.2">
      <c r="P199">
        <v>194</v>
      </c>
      <c r="Q199" t="s">
        <v>1858</v>
      </c>
      <c r="R199">
        <v>6</v>
      </c>
      <c r="Z199" s="27" t="s">
        <v>616</v>
      </c>
    </row>
    <row r="200" spans="16:26" hidden="1" x14ac:dyDescent="0.2">
      <c r="P200">
        <v>195</v>
      </c>
      <c r="Q200" t="s">
        <v>1861</v>
      </c>
      <c r="R200">
        <v>14</v>
      </c>
      <c r="Z200" s="27" t="s">
        <v>618</v>
      </c>
    </row>
    <row r="201" spans="16:26" hidden="1" x14ac:dyDescent="0.2">
      <c r="P201">
        <v>196</v>
      </c>
      <c r="Q201" t="s">
        <v>1864</v>
      </c>
      <c r="R201">
        <v>15</v>
      </c>
      <c r="Z201" s="27" t="s">
        <v>620</v>
      </c>
    </row>
    <row r="202" spans="16:26" hidden="1" x14ac:dyDescent="0.2">
      <c r="P202">
        <v>197</v>
      </c>
      <c r="Q202" t="s">
        <v>1870</v>
      </c>
      <c r="R202">
        <v>17</v>
      </c>
      <c r="Z202" s="27" t="s">
        <v>406</v>
      </c>
    </row>
    <row r="203" spans="16:26" hidden="1" x14ac:dyDescent="0.2">
      <c r="P203">
        <v>198</v>
      </c>
      <c r="Q203" t="s">
        <v>1873</v>
      </c>
      <c r="R203">
        <v>19</v>
      </c>
      <c r="Z203" s="27" t="s">
        <v>408</v>
      </c>
    </row>
    <row r="204" spans="16:26" hidden="1" x14ac:dyDescent="0.2">
      <c r="P204">
        <v>199</v>
      </c>
      <c r="Q204" t="s">
        <v>623</v>
      </c>
      <c r="R204">
        <v>7</v>
      </c>
      <c r="Z204" s="27" t="s">
        <v>410</v>
      </c>
    </row>
    <row r="205" spans="16:26" hidden="1" x14ac:dyDescent="0.2">
      <c r="P205">
        <v>200</v>
      </c>
      <c r="Q205" t="s">
        <v>2707</v>
      </c>
      <c r="R205">
        <v>2</v>
      </c>
      <c r="Z205" s="27" t="s">
        <v>412</v>
      </c>
    </row>
    <row r="206" spans="16:26" hidden="1" x14ac:dyDescent="0.2">
      <c r="P206">
        <v>201</v>
      </c>
      <c r="Q206" t="s">
        <v>2710</v>
      </c>
      <c r="R206">
        <v>6</v>
      </c>
      <c r="Z206" s="27" t="s">
        <v>414</v>
      </c>
    </row>
    <row r="207" spans="16:26" hidden="1" x14ac:dyDescent="0.2">
      <c r="P207">
        <v>202</v>
      </c>
      <c r="Q207" t="s">
        <v>2713</v>
      </c>
      <c r="R207">
        <v>6</v>
      </c>
      <c r="Z207" s="27" t="s">
        <v>2258</v>
      </c>
    </row>
    <row r="208" spans="16:26" hidden="1" x14ac:dyDescent="0.2">
      <c r="P208">
        <v>203</v>
      </c>
      <c r="Q208" t="s">
        <v>2716</v>
      </c>
      <c r="R208">
        <v>6</v>
      </c>
      <c r="Z208" s="27" t="s">
        <v>853</v>
      </c>
    </row>
    <row r="209" spans="16:26" hidden="1" x14ac:dyDescent="0.2">
      <c r="P209">
        <v>204</v>
      </c>
      <c r="Q209" t="s">
        <v>2719</v>
      </c>
      <c r="R209">
        <v>19</v>
      </c>
      <c r="Z209" s="27" t="s">
        <v>855</v>
      </c>
    </row>
    <row r="210" spans="16:26" hidden="1" x14ac:dyDescent="0.2">
      <c r="P210">
        <v>205</v>
      </c>
      <c r="Q210" t="s">
        <v>2725</v>
      </c>
      <c r="R210">
        <v>14</v>
      </c>
      <c r="Z210" s="27" t="s">
        <v>857</v>
      </c>
    </row>
    <row r="211" spans="16:26" hidden="1" x14ac:dyDescent="0.2">
      <c r="P211">
        <v>206</v>
      </c>
      <c r="Q211" t="s">
        <v>2728</v>
      </c>
      <c r="R211">
        <v>20</v>
      </c>
      <c r="Z211" s="27" t="s">
        <v>859</v>
      </c>
    </row>
    <row r="212" spans="16:26" hidden="1" x14ac:dyDescent="0.2">
      <c r="P212">
        <v>208</v>
      </c>
      <c r="Q212" t="s">
        <v>2731</v>
      </c>
      <c r="R212">
        <v>2</v>
      </c>
      <c r="Z212" s="27" t="s">
        <v>861</v>
      </c>
    </row>
    <row r="213" spans="16:26" hidden="1" x14ac:dyDescent="0.2">
      <c r="P213">
        <v>209</v>
      </c>
      <c r="Q213" t="s">
        <v>2734</v>
      </c>
      <c r="R213">
        <v>8</v>
      </c>
      <c r="Z213" s="27" t="s">
        <v>863</v>
      </c>
    </row>
    <row r="214" spans="16:26" hidden="1" x14ac:dyDescent="0.2">
      <c r="P214">
        <v>211</v>
      </c>
      <c r="Q214" t="s">
        <v>2737</v>
      </c>
      <c r="R214">
        <v>2</v>
      </c>
      <c r="Z214" s="27" t="s">
        <v>865</v>
      </c>
    </row>
    <row r="215" spans="16:26" hidden="1" x14ac:dyDescent="0.2">
      <c r="P215">
        <v>212</v>
      </c>
      <c r="Q215" t="s">
        <v>2740</v>
      </c>
      <c r="R215">
        <v>2</v>
      </c>
      <c r="Z215" s="27" t="s">
        <v>867</v>
      </c>
    </row>
    <row r="216" spans="16:26" hidden="1" x14ac:dyDescent="0.2">
      <c r="P216">
        <v>213</v>
      </c>
      <c r="Q216" t="s">
        <v>1612</v>
      </c>
      <c r="R216">
        <v>1</v>
      </c>
      <c r="Z216" s="27" t="s">
        <v>869</v>
      </c>
    </row>
    <row r="217" spans="16:26" hidden="1" x14ac:dyDescent="0.2">
      <c r="P217">
        <v>214</v>
      </c>
      <c r="Q217" t="s">
        <v>1615</v>
      </c>
      <c r="R217">
        <v>6</v>
      </c>
      <c r="Z217" s="27" t="s">
        <v>871</v>
      </c>
    </row>
    <row r="218" spans="16:26" hidden="1" x14ac:dyDescent="0.2">
      <c r="P218">
        <v>215</v>
      </c>
      <c r="Q218" t="s">
        <v>1618</v>
      </c>
      <c r="R218">
        <v>8</v>
      </c>
      <c r="Z218" s="27" t="s">
        <v>873</v>
      </c>
    </row>
    <row r="219" spans="16:26" hidden="1" x14ac:dyDescent="0.2">
      <c r="P219">
        <v>216</v>
      </c>
      <c r="Q219" t="s">
        <v>1621</v>
      </c>
      <c r="R219">
        <v>4</v>
      </c>
      <c r="Z219" s="27" t="s">
        <v>1505</v>
      </c>
    </row>
    <row r="220" spans="16:26" hidden="1" x14ac:dyDescent="0.2">
      <c r="P220">
        <v>217</v>
      </c>
      <c r="Q220" t="s">
        <v>1624</v>
      </c>
      <c r="R220">
        <v>18</v>
      </c>
      <c r="Z220" s="27" t="s">
        <v>1507</v>
      </c>
    </row>
    <row r="221" spans="16:26" hidden="1" x14ac:dyDescent="0.2">
      <c r="P221">
        <v>219</v>
      </c>
      <c r="Q221" t="s">
        <v>1630</v>
      </c>
      <c r="R221">
        <v>19</v>
      </c>
      <c r="Z221" s="27" t="s">
        <v>1124</v>
      </c>
    </row>
    <row r="222" spans="16:26" hidden="1" x14ac:dyDescent="0.2">
      <c r="P222">
        <v>220</v>
      </c>
      <c r="Q222" t="s">
        <v>1636</v>
      </c>
      <c r="R222">
        <v>3</v>
      </c>
      <c r="Z222" s="27" t="s">
        <v>1126</v>
      </c>
    </row>
    <row r="223" spans="16:26" hidden="1" x14ac:dyDescent="0.2">
      <c r="P223">
        <v>221</v>
      </c>
      <c r="Q223" t="s">
        <v>1639</v>
      </c>
      <c r="R223">
        <v>11</v>
      </c>
      <c r="Z223" s="27" t="s">
        <v>1128</v>
      </c>
    </row>
    <row r="224" spans="16:26" hidden="1" x14ac:dyDescent="0.2">
      <c r="P224">
        <v>222</v>
      </c>
      <c r="Q224" t="s">
        <v>1642</v>
      </c>
      <c r="R224">
        <v>18</v>
      </c>
      <c r="Z224" s="27" t="s">
        <v>1130</v>
      </c>
    </row>
    <row r="225" spans="16:26" hidden="1" x14ac:dyDescent="0.2">
      <c r="P225">
        <v>223</v>
      </c>
      <c r="Q225" t="s">
        <v>1645</v>
      </c>
      <c r="R225">
        <v>18</v>
      </c>
      <c r="Z225" s="27" t="s">
        <v>1132</v>
      </c>
    </row>
    <row r="226" spans="16:26" hidden="1" x14ac:dyDescent="0.2">
      <c r="P226">
        <v>225</v>
      </c>
      <c r="Q226" t="s">
        <v>1648</v>
      </c>
      <c r="R226">
        <v>4</v>
      </c>
      <c r="Z226" s="27" t="s">
        <v>2012</v>
      </c>
    </row>
    <row r="227" spans="16:26" hidden="1" x14ac:dyDescent="0.2">
      <c r="P227">
        <v>226</v>
      </c>
      <c r="Q227" t="s">
        <v>1651</v>
      </c>
      <c r="R227">
        <v>19</v>
      </c>
      <c r="Z227" s="27" t="s">
        <v>2014</v>
      </c>
    </row>
    <row r="228" spans="16:26" hidden="1" x14ac:dyDescent="0.2">
      <c r="P228">
        <v>227</v>
      </c>
      <c r="Q228" t="s">
        <v>1487</v>
      </c>
      <c r="R228">
        <v>6</v>
      </c>
      <c r="Z228" s="27" t="s">
        <v>2016</v>
      </c>
    </row>
    <row r="229" spans="16:26" hidden="1" x14ac:dyDescent="0.2">
      <c r="P229">
        <v>228</v>
      </c>
      <c r="Q229" t="s">
        <v>1490</v>
      </c>
      <c r="R229">
        <v>3</v>
      </c>
      <c r="Z229" s="27" t="s">
        <v>2018</v>
      </c>
    </row>
    <row r="230" spans="16:26" hidden="1" x14ac:dyDescent="0.2">
      <c r="P230">
        <v>229</v>
      </c>
      <c r="Q230" t="s">
        <v>1493</v>
      </c>
      <c r="R230">
        <v>5</v>
      </c>
      <c r="Z230" s="27" t="s">
        <v>2020</v>
      </c>
    </row>
    <row r="231" spans="16:26" hidden="1" x14ac:dyDescent="0.2">
      <c r="P231">
        <v>230</v>
      </c>
      <c r="Q231" t="s">
        <v>1496</v>
      </c>
      <c r="R231">
        <v>14</v>
      </c>
      <c r="Z231" s="27" t="s">
        <v>2022</v>
      </c>
    </row>
    <row r="232" spans="16:26" hidden="1" x14ac:dyDescent="0.2">
      <c r="P232">
        <v>231</v>
      </c>
      <c r="Q232" t="s">
        <v>1499</v>
      </c>
      <c r="R232">
        <v>11</v>
      </c>
      <c r="Z232" s="27" t="s">
        <v>2024</v>
      </c>
    </row>
    <row r="233" spans="16:26" hidden="1" x14ac:dyDescent="0.2">
      <c r="P233">
        <v>232</v>
      </c>
      <c r="Q233" t="s">
        <v>1929</v>
      </c>
      <c r="R233">
        <v>3</v>
      </c>
      <c r="Z233" s="27" t="s">
        <v>2026</v>
      </c>
    </row>
    <row r="234" spans="16:26" hidden="1" x14ac:dyDescent="0.2">
      <c r="P234">
        <v>234</v>
      </c>
      <c r="Q234" t="s">
        <v>1932</v>
      </c>
      <c r="R234">
        <v>13</v>
      </c>
      <c r="Z234" s="27" t="s">
        <v>1134</v>
      </c>
    </row>
    <row r="235" spans="16:26" hidden="1" x14ac:dyDescent="0.2">
      <c r="P235">
        <v>235</v>
      </c>
      <c r="Q235" t="s">
        <v>1935</v>
      </c>
      <c r="R235">
        <v>18</v>
      </c>
      <c r="Z235" s="27" t="s">
        <v>1136</v>
      </c>
    </row>
    <row r="236" spans="16:26" hidden="1" x14ac:dyDescent="0.2">
      <c r="P236">
        <v>236</v>
      </c>
      <c r="Q236" t="s">
        <v>1938</v>
      </c>
      <c r="R236">
        <v>2</v>
      </c>
      <c r="Z236" s="27" t="s">
        <v>1138</v>
      </c>
    </row>
    <row r="237" spans="16:26" hidden="1" x14ac:dyDescent="0.2">
      <c r="P237">
        <v>237</v>
      </c>
      <c r="Q237" t="s">
        <v>1941</v>
      </c>
      <c r="R237">
        <v>8</v>
      </c>
      <c r="Z237" s="27" t="s">
        <v>1140</v>
      </c>
    </row>
    <row r="238" spans="16:26" hidden="1" x14ac:dyDescent="0.2">
      <c r="P238">
        <v>239</v>
      </c>
      <c r="Q238" t="s">
        <v>1950</v>
      </c>
      <c r="R238">
        <v>16</v>
      </c>
      <c r="Z238" s="27" t="s">
        <v>1142</v>
      </c>
    </row>
    <row r="239" spans="16:26" hidden="1" x14ac:dyDescent="0.2">
      <c r="P239">
        <v>240</v>
      </c>
      <c r="Q239" t="s">
        <v>1953</v>
      </c>
      <c r="R239">
        <v>9</v>
      </c>
      <c r="Z239" s="27" t="s">
        <v>1144</v>
      </c>
    </row>
    <row r="240" spans="16:26" hidden="1" x14ac:dyDescent="0.2">
      <c r="P240">
        <v>242</v>
      </c>
      <c r="Q240" t="s">
        <v>1956</v>
      </c>
      <c r="R240">
        <v>8</v>
      </c>
      <c r="Z240" s="27" t="s">
        <v>1146</v>
      </c>
    </row>
    <row r="241" spans="16:26" hidden="1" x14ac:dyDescent="0.2">
      <c r="P241">
        <v>243</v>
      </c>
      <c r="Q241" t="s">
        <v>1959</v>
      </c>
      <c r="R241">
        <v>17</v>
      </c>
      <c r="Z241" s="27" t="s">
        <v>1148</v>
      </c>
    </row>
    <row r="242" spans="16:26" hidden="1" x14ac:dyDescent="0.2">
      <c r="P242">
        <v>244</v>
      </c>
      <c r="Q242" t="s">
        <v>1962</v>
      </c>
      <c r="R242">
        <v>5</v>
      </c>
      <c r="Z242" s="27" t="s">
        <v>1009</v>
      </c>
    </row>
    <row r="243" spans="16:26" hidden="1" x14ac:dyDescent="0.2">
      <c r="P243">
        <v>245</v>
      </c>
      <c r="Q243" t="s">
        <v>1968</v>
      </c>
      <c r="R243">
        <v>10</v>
      </c>
      <c r="Z243" s="27" t="s">
        <v>1011</v>
      </c>
    </row>
    <row r="244" spans="16:26" hidden="1" x14ac:dyDescent="0.2">
      <c r="P244">
        <v>246</v>
      </c>
      <c r="Q244" t="s">
        <v>1974</v>
      </c>
      <c r="R244">
        <v>18</v>
      </c>
      <c r="Z244" s="27" t="s">
        <v>2702</v>
      </c>
    </row>
    <row r="245" spans="16:26" hidden="1" x14ac:dyDescent="0.2">
      <c r="P245">
        <v>247</v>
      </c>
      <c r="Q245" t="s">
        <v>1977</v>
      </c>
      <c r="R245">
        <v>5</v>
      </c>
      <c r="Z245" s="27" t="s">
        <v>2704</v>
      </c>
    </row>
    <row r="246" spans="16:26" hidden="1" x14ac:dyDescent="0.2">
      <c r="P246">
        <v>248</v>
      </c>
      <c r="Q246" t="s">
        <v>1980</v>
      </c>
      <c r="R246">
        <v>2</v>
      </c>
      <c r="Z246" s="27" t="s">
        <v>2706</v>
      </c>
    </row>
    <row r="247" spans="16:26" hidden="1" x14ac:dyDescent="0.2">
      <c r="P247">
        <v>249</v>
      </c>
      <c r="Q247" t="s">
        <v>1989</v>
      </c>
      <c r="R247">
        <v>17</v>
      </c>
      <c r="Z247" s="27" t="s">
        <v>11</v>
      </c>
    </row>
    <row r="248" spans="16:26" hidden="1" x14ac:dyDescent="0.2">
      <c r="P248">
        <v>250</v>
      </c>
      <c r="Q248" t="s">
        <v>1992</v>
      </c>
      <c r="R248">
        <v>20</v>
      </c>
      <c r="Z248" s="27" t="s">
        <v>13</v>
      </c>
    </row>
    <row r="249" spans="16:26" hidden="1" x14ac:dyDescent="0.2">
      <c r="P249">
        <v>251</v>
      </c>
      <c r="Q249" t="s">
        <v>1995</v>
      </c>
      <c r="R249">
        <v>5</v>
      </c>
      <c r="Z249" s="27" t="s">
        <v>15</v>
      </c>
    </row>
    <row r="250" spans="16:26" hidden="1" x14ac:dyDescent="0.2">
      <c r="P250">
        <v>252</v>
      </c>
      <c r="Q250" t="s">
        <v>1998</v>
      </c>
      <c r="R250">
        <v>8</v>
      </c>
      <c r="Z250" s="27" t="s">
        <v>17</v>
      </c>
    </row>
    <row r="251" spans="16:26" hidden="1" x14ac:dyDescent="0.2">
      <c r="P251">
        <v>253</v>
      </c>
      <c r="Q251" t="s">
        <v>2001</v>
      </c>
      <c r="R251">
        <v>8</v>
      </c>
      <c r="Z251" s="27" t="s">
        <v>19</v>
      </c>
    </row>
    <row r="252" spans="16:26" hidden="1" x14ac:dyDescent="0.2">
      <c r="P252">
        <v>254</v>
      </c>
      <c r="Q252" t="s">
        <v>2004</v>
      </c>
      <c r="R252">
        <v>18</v>
      </c>
      <c r="Z252" s="27" t="s">
        <v>21</v>
      </c>
    </row>
    <row r="253" spans="16:26" hidden="1" x14ac:dyDescent="0.2">
      <c r="P253">
        <v>256</v>
      </c>
      <c r="Q253" t="s">
        <v>2007</v>
      </c>
      <c r="R253">
        <v>2</v>
      </c>
      <c r="Z253" s="27" t="s">
        <v>23</v>
      </c>
    </row>
    <row r="254" spans="16:26" hidden="1" x14ac:dyDescent="0.2">
      <c r="P254">
        <v>257</v>
      </c>
      <c r="Q254" t="s">
        <v>2302</v>
      </c>
      <c r="R254">
        <v>14</v>
      </c>
      <c r="Z254" s="27" t="s">
        <v>1227</v>
      </c>
    </row>
    <row r="255" spans="16:26" hidden="1" x14ac:dyDescent="0.2">
      <c r="P255">
        <v>258</v>
      </c>
      <c r="Q255" t="s">
        <v>2305</v>
      </c>
      <c r="R255">
        <v>17</v>
      </c>
      <c r="Z255" s="27" t="s">
        <v>1823</v>
      </c>
    </row>
    <row r="256" spans="16:26" hidden="1" x14ac:dyDescent="0.2">
      <c r="P256">
        <v>259</v>
      </c>
      <c r="Q256" t="s">
        <v>2311</v>
      </c>
      <c r="R256">
        <v>3</v>
      </c>
      <c r="Z256" s="27" t="s">
        <v>1825</v>
      </c>
    </row>
    <row r="257" spans="16:26" hidden="1" x14ac:dyDescent="0.2">
      <c r="P257">
        <v>260</v>
      </c>
      <c r="Q257" t="s">
        <v>1671</v>
      </c>
      <c r="R257">
        <v>5</v>
      </c>
      <c r="Z257" s="27" t="s">
        <v>1827</v>
      </c>
    </row>
    <row r="258" spans="16:26" hidden="1" x14ac:dyDescent="0.2">
      <c r="P258">
        <v>261</v>
      </c>
      <c r="Q258" t="s">
        <v>1674</v>
      </c>
      <c r="R258">
        <v>8</v>
      </c>
      <c r="Z258" s="27" t="s">
        <v>1829</v>
      </c>
    </row>
    <row r="259" spans="16:26" hidden="1" x14ac:dyDescent="0.2">
      <c r="P259">
        <v>263</v>
      </c>
      <c r="Q259" t="s">
        <v>1677</v>
      </c>
      <c r="R259">
        <v>18</v>
      </c>
      <c r="Z259" s="27" t="s">
        <v>1831</v>
      </c>
    </row>
    <row r="260" spans="16:26" hidden="1" x14ac:dyDescent="0.2">
      <c r="P260">
        <v>264</v>
      </c>
      <c r="Q260" t="s">
        <v>1680</v>
      </c>
      <c r="R260">
        <v>19</v>
      </c>
      <c r="Z260" s="27" t="s">
        <v>1833</v>
      </c>
    </row>
    <row r="261" spans="16:26" hidden="1" x14ac:dyDescent="0.2">
      <c r="P261">
        <v>265</v>
      </c>
      <c r="Q261" t="s">
        <v>1683</v>
      </c>
      <c r="R261">
        <v>2</v>
      </c>
      <c r="Z261" s="27" t="s">
        <v>1835</v>
      </c>
    </row>
    <row r="262" spans="16:26" hidden="1" x14ac:dyDescent="0.2">
      <c r="P262">
        <v>266</v>
      </c>
      <c r="Q262" t="s">
        <v>1686</v>
      </c>
      <c r="R262">
        <v>10</v>
      </c>
      <c r="Z262" s="27" t="s">
        <v>1837</v>
      </c>
    </row>
    <row r="263" spans="16:26" hidden="1" x14ac:dyDescent="0.2">
      <c r="P263">
        <v>267</v>
      </c>
      <c r="Q263" t="s">
        <v>1689</v>
      </c>
      <c r="R263">
        <v>17</v>
      </c>
      <c r="Z263" s="27" t="s">
        <v>1839</v>
      </c>
    </row>
    <row r="264" spans="16:26" hidden="1" x14ac:dyDescent="0.2">
      <c r="P264">
        <v>268</v>
      </c>
      <c r="Q264" t="s">
        <v>1692</v>
      </c>
      <c r="R264">
        <v>19</v>
      </c>
      <c r="Z264" s="27" t="s">
        <v>1841</v>
      </c>
    </row>
    <row r="265" spans="16:26" hidden="1" x14ac:dyDescent="0.2">
      <c r="P265">
        <v>270</v>
      </c>
      <c r="Q265" t="s">
        <v>1695</v>
      </c>
      <c r="R265">
        <v>6</v>
      </c>
      <c r="Z265" s="27" t="s">
        <v>1843</v>
      </c>
    </row>
    <row r="266" spans="16:26" hidden="1" x14ac:dyDescent="0.2">
      <c r="P266">
        <v>271</v>
      </c>
      <c r="Q266" t="s">
        <v>1328</v>
      </c>
      <c r="R266">
        <v>14</v>
      </c>
      <c r="Z266" s="27" t="s">
        <v>1439</v>
      </c>
    </row>
    <row r="267" spans="16:26" hidden="1" x14ac:dyDescent="0.2">
      <c r="P267">
        <v>273</v>
      </c>
      <c r="Q267" t="s">
        <v>1698</v>
      </c>
      <c r="R267">
        <v>8</v>
      </c>
      <c r="Z267" s="27" t="s">
        <v>1441</v>
      </c>
    </row>
    <row r="268" spans="16:26" hidden="1" x14ac:dyDescent="0.2">
      <c r="P268">
        <v>274</v>
      </c>
      <c r="Q268" t="s">
        <v>1701</v>
      </c>
      <c r="R268">
        <v>18</v>
      </c>
      <c r="Z268" s="27" t="s">
        <v>1443</v>
      </c>
    </row>
    <row r="269" spans="16:26" hidden="1" x14ac:dyDescent="0.2">
      <c r="P269">
        <v>275</v>
      </c>
      <c r="Q269" t="s">
        <v>1704</v>
      </c>
      <c r="R269">
        <v>8</v>
      </c>
      <c r="Z269" s="27" t="s">
        <v>1445</v>
      </c>
    </row>
    <row r="270" spans="16:26" hidden="1" x14ac:dyDescent="0.2">
      <c r="P270">
        <v>276</v>
      </c>
      <c r="Q270" t="s">
        <v>1710</v>
      </c>
      <c r="R270">
        <v>20</v>
      </c>
      <c r="Z270" s="27" t="s">
        <v>1447</v>
      </c>
    </row>
    <row r="271" spans="16:26" hidden="1" x14ac:dyDescent="0.2">
      <c r="P271">
        <v>278</v>
      </c>
      <c r="Q271" t="s">
        <v>494</v>
      </c>
      <c r="R271">
        <v>14</v>
      </c>
      <c r="Z271" s="27" t="s">
        <v>1449</v>
      </c>
    </row>
    <row r="272" spans="16:26" hidden="1" x14ac:dyDescent="0.2">
      <c r="P272">
        <v>279</v>
      </c>
      <c r="Q272" t="s">
        <v>1722</v>
      </c>
      <c r="R272">
        <v>20</v>
      </c>
      <c r="Z272" s="27" t="s">
        <v>404</v>
      </c>
    </row>
    <row r="273" spans="16:26" hidden="1" x14ac:dyDescent="0.2">
      <c r="P273">
        <v>280</v>
      </c>
      <c r="Q273" t="s">
        <v>1384</v>
      </c>
      <c r="R273">
        <v>17</v>
      </c>
      <c r="Z273" s="27" t="s">
        <v>2190</v>
      </c>
    </row>
    <row r="274" spans="16:26" hidden="1" x14ac:dyDescent="0.2">
      <c r="P274">
        <v>281</v>
      </c>
      <c r="Q274" t="s">
        <v>2425</v>
      </c>
      <c r="R274">
        <v>4</v>
      </c>
      <c r="Z274" s="27" t="s">
        <v>2192</v>
      </c>
    </row>
    <row r="275" spans="16:26" hidden="1" x14ac:dyDescent="0.2">
      <c r="P275">
        <v>282</v>
      </c>
      <c r="Q275" t="s">
        <v>2445</v>
      </c>
      <c r="R275">
        <v>13</v>
      </c>
      <c r="Z275" s="27" t="s">
        <v>1451</v>
      </c>
    </row>
    <row r="276" spans="16:26" hidden="1" x14ac:dyDescent="0.2">
      <c r="P276">
        <v>283</v>
      </c>
      <c r="Q276" t="s">
        <v>2448</v>
      </c>
      <c r="R276">
        <v>10</v>
      </c>
      <c r="Z276" s="27" t="s">
        <v>1453</v>
      </c>
    </row>
    <row r="277" spans="16:26" hidden="1" x14ac:dyDescent="0.2">
      <c r="P277">
        <v>284</v>
      </c>
      <c r="Q277" t="s">
        <v>2451</v>
      </c>
      <c r="R277">
        <v>12</v>
      </c>
      <c r="Z277" s="27" t="s">
        <v>1455</v>
      </c>
    </row>
    <row r="278" spans="16:26" hidden="1" x14ac:dyDescent="0.2">
      <c r="P278">
        <v>285</v>
      </c>
      <c r="Q278" t="s">
        <v>2454</v>
      </c>
      <c r="R278">
        <v>12</v>
      </c>
      <c r="Z278" s="27" t="s">
        <v>1457</v>
      </c>
    </row>
    <row r="279" spans="16:26" hidden="1" x14ac:dyDescent="0.2">
      <c r="P279">
        <v>287</v>
      </c>
      <c r="Q279" t="s">
        <v>2457</v>
      </c>
      <c r="R279">
        <v>7</v>
      </c>
      <c r="Z279" s="27" t="s">
        <v>1459</v>
      </c>
    </row>
    <row r="280" spans="16:26" hidden="1" x14ac:dyDescent="0.2">
      <c r="P280">
        <v>288</v>
      </c>
      <c r="Q280" t="s">
        <v>2460</v>
      </c>
      <c r="R280">
        <v>9</v>
      </c>
      <c r="Z280" s="27" t="s">
        <v>1461</v>
      </c>
    </row>
    <row r="281" spans="16:26" hidden="1" x14ac:dyDescent="0.2">
      <c r="P281">
        <v>289</v>
      </c>
      <c r="Q281" t="s">
        <v>2420</v>
      </c>
      <c r="R281">
        <v>5</v>
      </c>
      <c r="Z281" s="27" t="s">
        <v>1463</v>
      </c>
    </row>
    <row r="282" spans="16:26" hidden="1" x14ac:dyDescent="0.2">
      <c r="P282">
        <v>290</v>
      </c>
      <c r="Q282" t="s">
        <v>2423</v>
      </c>
      <c r="R282">
        <v>8</v>
      </c>
      <c r="Z282" s="27" t="s">
        <v>1465</v>
      </c>
    </row>
    <row r="283" spans="16:26" hidden="1" x14ac:dyDescent="0.2">
      <c r="P283">
        <v>291</v>
      </c>
      <c r="Q283" t="s">
        <v>265</v>
      </c>
      <c r="R283">
        <v>18</v>
      </c>
      <c r="Z283" s="27" t="s">
        <v>1467</v>
      </c>
    </row>
    <row r="284" spans="16:26" hidden="1" x14ac:dyDescent="0.2">
      <c r="P284">
        <v>292</v>
      </c>
      <c r="Q284" t="s">
        <v>270</v>
      </c>
      <c r="R284">
        <v>6</v>
      </c>
      <c r="Z284" s="27" t="s">
        <v>1469</v>
      </c>
    </row>
    <row r="285" spans="16:26" hidden="1" x14ac:dyDescent="0.2">
      <c r="P285">
        <v>293</v>
      </c>
      <c r="Q285" t="s">
        <v>276</v>
      </c>
      <c r="R285">
        <v>3</v>
      </c>
      <c r="Z285" s="27" t="s">
        <v>1471</v>
      </c>
    </row>
    <row r="286" spans="16:26" hidden="1" x14ac:dyDescent="0.2">
      <c r="P286">
        <v>294</v>
      </c>
      <c r="Q286" t="s">
        <v>279</v>
      </c>
      <c r="R286">
        <v>16</v>
      </c>
      <c r="Z286" s="27" t="s">
        <v>1473</v>
      </c>
    </row>
    <row r="287" spans="16:26" hidden="1" x14ac:dyDescent="0.2">
      <c r="P287">
        <v>295</v>
      </c>
      <c r="Q287" t="s">
        <v>2442</v>
      </c>
      <c r="R287">
        <v>16</v>
      </c>
      <c r="Z287" s="27" t="s">
        <v>1475</v>
      </c>
    </row>
    <row r="288" spans="16:26" hidden="1" x14ac:dyDescent="0.2">
      <c r="P288">
        <v>296</v>
      </c>
      <c r="Q288" t="s">
        <v>282</v>
      </c>
      <c r="R288">
        <v>13</v>
      </c>
      <c r="Z288" s="27" t="s">
        <v>1477</v>
      </c>
    </row>
    <row r="289" spans="16:26" hidden="1" x14ac:dyDescent="0.2">
      <c r="P289">
        <v>297</v>
      </c>
      <c r="Q289" t="s">
        <v>285</v>
      </c>
      <c r="R289">
        <v>4</v>
      </c>
      <c r="Z289" s="27" t="s">
        <v>1479</v>
      </c>
    </row>
    <row r="290" spans="16:26" hidden="1" x14ac:dyDescent="0.2">
      <c r="P290">
        <v>298</v>
      </c>
      <c r="Q290" t="s">
        <v>1198</v>
      </c>
      <c r="R290">
        <v>15</v>
      </c>
      <c r="Z290" s="27" t="s">
        <v>297</v>
      </c>
    </row>
    <row r="291" spans="16:26" hidden="1" x14ac:dyDescent="0.2">
      <c r="P291">
        <v>299</v>
      </c>
      <c r="Q291" t="s">
        <v>1205</v>
      </c>
      <c r="R291">
        <v>12</v>
      </c>
      <c r="Z291" s="27" t="s">
        <v>299</v>
      </c>
    </row>
    <row r="292" spans="16:26" hidden="1" x14ac:dyDescent="0.2">
      <c r="P292">
        <v>300</v>
      </c>
      <c r="Q292" t="s">
        <v>1208</v>
      </c>
      <c r="R292">
        <v>17</v>
      </c>
      <c r="Z292" s="27" t="s">
        <v>301</v>
      </c>
    </row>
    <row r="293" spans="16:26" hidden="1" x14ac:dyDescent="0.2">
      <c r="P293">
        <v>301</v>
      </c>
      <c r="Q293" t="s">
        <v>1211</v>
      </c>
      <c r="R293">
        <v>8</v>
      </c>
      <c r="Z293" s="27" t="s">
        <v>303</v>
      </c>
    </row>
    <row r="294" spans="16:26" hidden="1" x14ac:dyDescent="0.2">
      <c r="P294">
        <v>302</v>
      </c>
      <c r="Q294" t="s">
        <v>1214</v>
      </c>
      <c r="R294">
        <v>8</v>
      </c>
      <c r="Z294" s="27" t="s">
        <v>305</v>
      </c>
    </row>
    <row r="295" spans="16:26" hidden="1" x14ac:dyDescent="0.2">
      <c r="P295">
        <v>303</v>
      </c>
      <c r="Q295" t="s">
        <v>1217</v>
      </c>
      <c r="R295">
        <v>12</v>
      </c>
      <c r="Z295" s="27" t="s">
        <v>307</v>
      </c>
    </row>
    <row r="296" spans="16:26" hidden="1" x14ac:dyDescent="0.2">
      <c r="P296">
        <v>304</v>
      </c>
      <c r="Q296" t="s">
        <v>1220</v>
      </c>
      <c r="R296">
        <v>18</v>
      </c>
      <c r="Z296" s="27" t="s">
        <v>309</v>
      </c>
    </row>
    <row r="297" spans="16:26" hidden="1" x14ac:dyDescent="0.2">
      <c r="P297">
        <v>306</v>
      </c>
      <c r="Q297" t="s">
        <v>54</v>
      </c>
      <c r="R297">
        <v>19</v>
      </c>
      <c r="Z297" s="27" t="s">
        <v>311</v>
      </c>
    </row>
    <row r="298" spans="16:26" hidden="1" x14ac:dyDescent="0.2">
      <c r="P298">
        <v>307</v>
      </c>
      <c r="Q298" t="s">
        <v>57</v>
      </c>
      <c r="R298">
        <v>10</v>
      </c>
      <c r="Z298" s="27" t="s">
        <v>627</v>
      </c>
    </row>
    <row r="299" spans="16:26" hidden="1" x14ac:dyDescent="0.2">
      <c r="P299">
        <v>308</v>
      </c>
      <c r="Q299" t="s">
        <v>60</v>
      </c>
      <c r="R299">
        <v>19</v>
      </c>
      <c r="Z299" s="27" t="s">
        <v>629</v>
      </c>
    </row>
    <row r="300" spans="16:26" hidden="1" x14ac:dyDescent="0.2">
      <c r="P300">
        <v>309</v>
      </c>
      <c r="Q300" t="s">
        <v>66</v>
      </c>
      <c r="R300">
        <v>12</v>
      </c>
      <c r="Z300" s="27" t="s">
        <v>631</v>
      </c>
    </row>
    <row r="301" spans="16:26" hidden="1" x14ac:dyDescent="0.2">
      <c r="P301">
        <v>310</v>
      </c>
      <c r="Q301" t="s">
        <v>2733</v>
      </c>
      <c r="R301">
        <v>15</v>
      </c>
      <c r="Z301" s="27" t="s">
        <v>633</v>
      </c>
    </row>
    <row r="302" spans="16:26" hidden="1" x14ac:dyDescent="0.2">
      <c r="P302">
        <v>311</v>
      </c>
      <c r="Q302" t="s">
        <v>213</v>
      </c>
      <c r="R302">
        <v>2</v>
      </c>
      <c r="Z302" s="27" t="s">
        <v>635</v>
      </c>
    </row>
    <row r="303" spans="16:26" hidden="1" x14ac:dyDescent="0.2">
      <c r="P303">
        <v>312</v>
      </c>
      <c r="Q303" t="s">
        <v>1254</v>
      </c>
      <c r="R303">
        <v>14</v>
      </c>
      <c r="Z303" s="27" t="s">
        <v>637</v>
      </c>
    </row>
    <row r="304" spans="16:26" hidden="1" x14ac:dyDescent="0.2">
      <c r="P304">
        <v>313</v>
      </c>
      <c r="Q304" t="s">
        <v>1257</v>
      </c>
      <c r="R304">
        <v>9</v>
      </c>
      <c r="Z304" s="27" t="s">
        <v>639</v>
      </c>
    </row>
    <row r="305" spans="16:26" hidden="1" x14ac:dyDescent="0.2">
      <c r="P305">
        <v>314</v>
      </c>
      <c r="Q305" t="s">
        <v>1260</v>
      </c>
      <c r="R305">
        <v>17</v>
      </c>
      <c r="Z305" s="27" t="s">
        <v>641</v>
      </c>
    </row>
    <row r="306" spans="16:26" hidden="1" x14ac:dyDescent="0.2">
      <c r="P306">
        <v>315</v>
      </c>
      <c r="Q306" t="s">
        <v>1266</v>
      </c>
      <c r="R306">
        <v>4</v>
      </c>
      <c r="Z306" s="27" t="s">
        <v>643</v>
      </c>
    </row>
    <row r="307" spans="16:26" hidden="1" x14ac:dyDescent="0.2">
      <c r="P307">
        <v>316</v>
      </c>
      <c r="Q307" t="s">
        <v>1269</v>
      </c>
      <c r="R307">
        <v>13</v>
      </c>
      <c r="Z307" s="27" t="s">
        <v>645</v>
      </c>
    </row>
    <row r="308" spans="16:26" hidden="1" x14ac:dyDescent="0.2">
      <c r="P308">
        <v>317</v>
      </c>
      <c r="Q308" t="s">
        <v>1272</v>
      </c>
      <c r="R308">
        <v>13</v>
      </c>
      <c r="Z308" s="27" t="s">
        <v>647</v>
      </c>
    </row>
    <row r="309" spans="16:26" hidden="1" x14ac:dyDescent="0.2">
      <c r="P309">
        <v>318</v>
      </c>
      <c r="Q309" t="s">
        <v>1275</v>
      </c>
      <c r="R309">
        <v>11</v>
      </c>
      <c r="Z309" s="27" t="s">
        <v>649</v>
      </c>
    </row>
    <row r="310" spans="16:26" hidden="1" x14ac:dyDescent="0.2">
      <c r="P310">
        <v>320</v>
      </c>
      <c r="Q310" t="s">
        <v>1278</v>
      </c>
      <c r="R310">
        <v>13</v>
      </c>
      <c r="Z310" s="27" t="s">
        <v>2685</v>
      </c>
    </row>
    <row r="311" spans="16:26" hidden="1" x14ac:dyDescent="0.2">
      <c r="P311">
        <v>321</v>
      </c>
      <c r="Q311" t="s">
        <v>1281</v>
      </c>
      <c r="R311">
        <v>18</v>
      </c>
      <c r="Z311" s="27" t="s">
        <v>2687</v>
      </c>
    </row>
    <row r="312" spans="16:26" hidden="1" x14ac:dyDescent="0.2">
      <c r="P312">
        <v>323</v>
      </c>
      <c r="Q312" t="s">
        <v>1284</v>
      </c>
      <c r="R312">
        <v>9</v>
      </c>
      <c r="Z312" s="27" t="s">
        <v>2689</v>
      </c>
    </row>
    <row r="313" spans="16:26" hidden="1" x14ac:dyDescent="0.2">
      <c r="P313">
        <v>324</v>
      </c>
      <c r="Q313" t="s">
        <v>211</v>
      </c>
      <c r="R313">
        <v>6</v>
      </c>
      <c r="Z313" s="27" t="s">
        <v>2691</v>
      </c>
    </row>
    <row r="314" spans="16:26" hidden="1" x14ac:dyDescent="0.2">
      <c r="P314">
        <v>325</v>
      </c>
      <c r="Q314" t="s">
        <v>1579</v>
      </c>
      <c r="R314">
        <v>14</v>
      </c>
      <c r="Z314" s="27" t="s">
        <v>2693</v>
      </c>
    </row>
    <row r="315" spans="16:26" hidden="1" x14ac:dyDescent="0.2">
      <c r="P315">
        <v>326</v>
      </c>
      <c r="Q315" t="s">
        <v>1582</v>
      </c>
      <c r="R315">
        <v>5</v>
      </c>
      <c r="Z315" s="27" t="s">
        <v>2695</v>
      </c>
    </row>
    <row r="316" spans="16:26" hidden="1" x14ac:dyDescent="0.2">
      <c r="P316">
        <v>327</v>
      </c>
      <c r="Q316" t="s">
        <v>1585</v>
      </c>
      <c r="R316">
        <v>14</v>
      </c>
      <c r="Z316" s="27" t="s">
        <v>2697</v>
      </c>
    </row>
    <row r="317" spans="16:26" hidden="1" x14ac:dyDescent="0.2">
      <c r="P317">
        <v>328</v>
      </c>
      <c r="Q317" t="s">
        <v>1588</v>
      </c>
      <c r="R317">
        <v>3</v>
      </c>
      <c r="Z317" s="27" t="s">
        <v>1511</v>
      </c>
    </row>
    <row r="318" spans="16:26" hidden="1" x14ac:dyDescent="0.2">
      <c r="P318">
        <v>329</v>
      </c>
      <c r="Q318" t="s">
        <v>1289</v>
      </c>
      <c r="R318">
        <v>2</v>
      </c>
      <c r="Z318" s="27" t="s">
        <v>1513</v>
      </c>
    </row>
    <row r="319" spans="16:26" hidden="1" x14ac:dyDescent="0.2">
      <c r="P319">
        <v>330</v>
      </c>
      <c r="Q319" t="s">
        <v>1292</v>
      </c>
      <c r="R319">
        <v>18</v>
      </c>
      <c r="Z319" s="27" t="s">
        <v>1515</v>
      </c>
    </row>
    <row r="320" spans="16:26" hidden="1" x14ac:dyDescent="0.2">
      <c r="P320">
        <v>331</v>
      </c>
      <c r="Q320" t="s">
        <v>1298</v>
      </c>
      <c r="R320">
        <v>1</v>
      </c>
      <c r="Z320" s="27" t="s">
        <v>1517</v>
      </c>
    </row>
    <row r="321" spans="16:26" hidden="1" x14ac:dyDescent="0.2">
      <c r="P321">
        <v>332</v>
      </c>
      <c r="Q321" t="s">
        <v>1301</v>
      </c>
      <c r="R321">
        <v>10</v>
      </c>
      <c r="Z321" s="27" t="s">
        <v>1519</v>
      </c>
    </row>
    <row r="322" spans="16:26" hidden="1" x14ac:dyDescent="0.2">
      <c r="P322">
        <v>333</v>
      </c>
      <c r="Q322" t="s">
        <v>1304</v>
      </c>
      <c r="R322">
        <v>4</v>
      </c>
      <c r="Z322" s="27" t="s">
        <v>1521</v>
      </c>
    </row>
    <row r="323" spans="16:26" hidden="1" x14ac:dyDescent="0.2">
      <c r="P323">
        <v>334</v>
      </c>
      <c r="Q323" t="s">
        <v>1307</v>
      </c>
      <c r="R323">
        <v>11</v>
      </c>
      <c r="Z323" s="27" t="s">
        <v>1523</v>
      </c>
    </row>
    <row r="324" spans="16:26" hidden="1" x14ac:dyDescent="0.2">
      <c r="P324">
        <v>335</v>
      </c>
      <c r="Q324" t="s">
        <v>1313</v>
      </c>
      <c r="R324">
        <v>19</v>
      </c>
      <c r="Z324" s="27" t="s">
        <v>1525</v>
      </c>
    </row>
    <row r="325" spans="16:26" hidden="1" x14ac:dyDescent="0.2">
      <c r="P325">
        <v>337</v>
      </c>
      <c r="Q325" t="s">
        <v>1316</v>
      </c>
      <c r="R325">
        <v>17</v>
      </c>
      <c r="Z325" s="27" t="s">
        <v>1527</v>
      </c>
    </row>
    <row r="326" spans="16:26" hidden="1" x14ac:dyDescent="0.2">
      <c r="P326">
        <v>338</v>
      </c>
      <c r="Q326" t="s">
        <v>1319</v>
      </c>
      <c r="R326">
        <v>12</v>
      </c>
      <c r="Z326" s="27" t="s">
        <v>1529</v>
      </c>
    </row>
    <row r="327" spans="16:26" hidden="1" x14ac:dyDescent="0.2">
      <c r="P327">
        <v>339</v>
      </c>
      <c r="Q327" t="s">
        <v>1322</v>
      </c>
      <c r="R327">
        <v>17</v>
      </c>
      <c r="Z327" s="27" t="s">
        <v>1531</v>
      </c>
    </row>
    <row r="328" spans="16:26" hidden="1" x14ac:dyDescent="0.2">
      <c r="P328">
        <v>340</v>
      </c>
      <c r="Q328" t="s">
        <v>1325</v>
      </c>
      <c r="R328">
        <v>14</v>
      </c>
      <c r="Z328" s="27" t="s">
        <v>1533</v>
      </c>
    </row>
    <row r="329" spans="16:26" hidden="1" x14ac:dyDescent="0.2">
      <c r="P329">
        <v>341</v>
      </c>
      <c r="Q329" t="s">
        <v>227</v>
      </c>
      <c r="R329">
        <v>17</v>
      </c>
      <c r="Z329" s="27" t="s">
        <v>1535</v>
      </c>
    </row>
    <row r="330" spans="16:26" hidden="1" x14ac:dyDescent="0.2">
      <c r="P330">
        <v>342</v>
      </c>
      <c r="Q330" t="s">
        <v>230</v>
      </c>
      <c r="R330">
        <v>20</v>
      </c>
      <c r="Z330" s="27" t="s">
        <v>1537</v>
      </c>
    </row>
    <row r="331" spans="16:26" hidden="1" x14ac:dyDescent="0.2">
      <c r="P331">
        <v>343</v>
      </c>
      <c r="Q331" t="s">
        <v>518</v>
      </c>
      <c r="R331">
        <v>19</v>
      </c>
      <c r="Z331" s="27" t="s">
        <v>1539</v>
      </c>
    </row>
    <row r="332" spans="16:26" hidden="1" x14ac:dyDescent="0.2">
      <c r="P332">
        <v>344</v>
      </c>
      <c r="Q332" t="s">
        <v>524</v>
      </c>
      <c r="R332">
        <v>13</v>
      </c>
      <c r="Z332" s="27" t="s">
        <v>651</v>
      </c>
    </row>
    <row r="333" spans="16:26" hidden="1" x14ac:dyDescent="0.2">
      <c r="P333">
        <v>345</v>
      </c>
      <c r="Q333" t="s">
        <v>527</v>
      </c>
      <c r="R333">
        <v>13</v>
      </c>
      <c r="Z333" s="27" t="s">
        <v>653</v>
      </c>
    </row>
    <row r="334" spans="16:26" hidden="1" x14ac:dyDescent="0.2">
      <c r="P334">
        <v>346</v>
      </c>
      <c r="Q334" t="s">
        <v>530</v>
      </c>
      <c r="R334">
        <v>14</v>
      </c>
      <c r="Z334" s="27" t="s">
        <v>655</v>
      </c>
    </row>
    <row r="335" spans="16:26" hidden="1" x14ac:dyDescent="0.2">
      <c r="P335">
        <v>347</v>
      </c>
      <c r="Q335" t="s">
        <v>533</v>
      </c>
      <c r="R335">
        <v>3</v>
      </c>
      <c r="Z335" s="27" t="s">
        <v>657</v>
      </c>
    </row>
    <row r="336" spans="16:26" hidden="1" x14ac:dyDescent="0.2">
      <c r="P336">
        <v>348</v>
      </c>
      <c r="Q336" t="s">
        <v>536</v>
      </c>
      <c r="R336">
        <v>18</v>
      </c>
      <c r="Z336" s="27" t="s">
        <v>1920</v>
      </c>
    </row>
    <row r="337" spans="16:26" hidden="1" x14ac:dyDescent="0.2">
      <c r="P337">
        <v>349</v>
      </c>
      <c r="Q337" t="s">
        <v>539</v>
      </c>
      <c r="R337">
        <v>13</v>
      </c>
      <c r="Z337" s="27" t="s">
        <v>1922</v>
      </c>
    </row>
    <row r="338" spans="16:26" hidden="1" x14ac:dyDescent="0.2">
      <c r="P338">
        <v>350</v>
      </c>
      <c r="Q338" t="s">
        <v>542</v>
      </c>
      <c r="R338">
        <v>17</v>
      </c>
      <c r="Z338" s="27" t="s">
        <v>1339</v>
      </c>
    </row>
    <row r="339" spans="16:26" hidden="1" x14ac:dyDescent="0.2">
      <c r="P339">
        <v>351</v>
      </c>
      <c r="Q339" t="s">
        <v>548</v>
      </c>
      <c r="R339">
        <v>11</v>
      </c>
      <c r="Z339" s="27" t="s">
        <v>1341</v>
      </c>
    </row>
    <row r="340" spans="16:26" hidden="1" x14ac:dyDescent="0.2">
      <c r="P340">
        <v>352</v>
      </c>
      <c r="Q340" t="s">
        <v>551</v>
      </c>
      <c r="R340">
        <v>2</v>
      </c>
      <c r="Z340" s="27" t="s">
        <v>1343</v>
      </c>
    </row>
    <row r="341" spans="16:26" hidden="1" x14ac:dyDescent="0.2">
      <c r="P341">
        <v>354</v>
      </c>
      <c r="Q341" t="s">
        <v>554</v>
      </c>
      <c r="R341">
        <v>13</v>
      </c>
      <c r="Z341" s="27" t="s">
        <v>1345</v>
      </c>
    </row>
    <row r="342" spans="16:26" hidden="1" x14ac:dyDescent="0.2">
      <c r="P342">
        <v>355</v>
      </c>
      <c r="Q342" t="s">
        <v>557</v>
      </c>
      <c r="R342">
        <v>20</v>
      </c>
      <c r="Z342" s="27" t="s">
        <v>1347</v>
      </c>
    </row>
    <row r="343" spans="16:26" hidden="1" x14ac:dyDescent="0.2">
      <c r="P343">
        <v>356</v>
      </c>
      <c r="Q343" t="s">
        <v>2265</v>
      </c>
      <c r="R343">
        <v>1</v>
      </c>
      <c r="Z343" s="27" t="s">
        <v>1349</v>
      </c>
    </row>
    <row r="344" spans="16:26" hidden="1" x14ac:dyDescent="0.2">
      <c r="P344">
        <v>357</v>
      </c>
      <c r="Q344" t="s">
        <v>241</v>
      </c>
      <c r="R344">
        <v>15</v>
      </c>
      <c r="Z344" s="27" t="s">
        <v>1417</v>
      </c>
    </row>
    <row r="345" spans="16:26" hidden="1" x14ac:dyDescent="0.2">
      <c r="P345">
        <v>358</v>
      </c>
      <c r="Q345" t="s">
        <v>1844</v>
      </c>
      <c r="R345">
        <v>17</v>
      </c>
      <c r="Z345" s="27" t="s">
        <v>1419</v>
      </c>
    </row>
    <row r="346" spans="16:26" hidden="1" x14ac:dyDescent="0.2">
      <c r="P346">
        <v>359</v>
      </c>
      <c r="Q346" t="s">
        <v>1847</v>
      </c>
      <c r="R346">
        <v>18</v>
      </c>
      <c r="Z346" s="27" t="s">
        <v>1421</v>
      </c>
    </row>
    <row r="347" spans="16:26" hidden="1" x14ac:dyDescent="0.2">
      <c r="P347">
        <v>360</v>
      </c>
      <c r="Q347" t="s">
        <v>1850</v>
      </c>
      <c r="R347">
        <v>8</v>
      </c>
      <c r="Z347" s="27" t="s">
        <v>1423</v>
      </c>
    </row>
    <row r="348" spans="16:26" hidden="1" x14ac:dyDescent="0.2">
      <c r="P348">
        <v>361</v>
      </c>
      <c r="Q348" t="s">
        <v>1853</v>
      </c>
      <c r="R348">
        <v>14</v>
      </c>
      <c r="Z348" s="27" t="s">
        <v>1425</v>
      </c>
    </row>
    <row r="349" spans="16:26" hidden="1" x14ac:dyDescent="0.2">
      <c r="P349">
        <v>362</v>
      </c>
      <c r="Q349" t="s">
        <v>1856</v>
      </c>
      <c r="R349">
        <v>1</v>
      </c>
      <c r="Z349" s="27" t="s">
        <v>1427</v>
      </c>
    </row>
    <row r="350" spans="16:26" hidden="1" x14ac:dyDescent="0.2">
      <c r="P350">
        <v>363</v>
      </c>
      <c r="Q350" t="s">
        <v>1859</v>
      </c>
      <c r="R350">
        <v>8</v>
      </c>
      <c r="Z350" s="27" t="s">
        <v>1429</v>
      </c>
    </row>
    <row r="351" spans="16:26" hidden="1" x14ac:dyDescent="0.2">
      <c r="P351">
        <v>364</v>
      </c>
      <c r="Q351" t="s">
        <v>1862</v>
      </c>
      <c r="R351">
        <v>2</v>
      </c>
      <c r="Z351" s="27" t="s">
        <v>1431</v>
      </c>
    </row>
    <row r="352" spans="16:26" hidden="1" x14ac:dyDescent="0.2">
      <c r="P352">
        <v>365</v>
      </c>
      <c r="Q352" t="s">
        <v>1868</v>
      </c>
      <c r="R352">
        <v>4</v>
      </c>
      <c r="Z352" s="27" t="s">
        <v>1433</v>
      </c>
    </row>
    <row r="353" spans="16:26" hidden="1" x14ac:dyDescent="0.2">
      <c r="P353">
        <v>366</v>
      </c>
      <c r="Q353" t="s">
        <v>1871</v>
      </c>
      <c r="R353">
        <v>6</v>
      </c>
      <c r="Z353" s="27" t="s">
        <v>2568</v>
      </c>
    </row>
    <row r="354" spans="16:26" hidden="1" x14ac:dyDescent="0.2">
      <c r="P354">
        <v>368</v>
      </c>
      <c r="Q354" t="s">
        <v>1874</v>
      </c>
      <c r="R354">
        <v>18</v>
      </c>
      <c r="Z354" s="27" t="s">
        <v>2570</v>
      </c>
    </row>
    <row r="355" spans="16:26" hidden="1" x14ac:dyDescent="0.2">
      <c r="P355">
        <v>369</v>
      </c>
      <c r="Q355" t="s">
        <v>624</v>
      </c>
      <c r="R355">
        <v>8</v>
      </c>
      <c r="Z355" s="27" t="s">
        <v>2572</v>
      </c>
    </row>
    <row r="356" spans="16:26" hidden="1" x14ac:dyDescent="0.2">
      <c r="P356">
        <v>371</v>
      </c>
      <c r="Q356" t="s">
        <v>2708</v>
      </c>
      <c r="R356">
        <v>13</v>
      </c>
      <c r="Z356" s="27" t="s">
        <v>2574</v>
      </c>
    </row>
    <row r="357" spans="16:26" hidden="1" x14ac:dyDescent="0.2">
      <c r="P357">
        <v>372</v>
      </c>
      <c r="Q357" t="s">
        <v>2711</v>
      </c>
      <c r="R357">
        <v>12</v>
      </c>
      <c r="Z357" s="27" t="s">
        <v>2576</v>
      </c>
    </row>
    <row r="358" spans="16:26" hidden="1" x14ac:dyDescent="0.2">
      <c r="P358">
        <v>373</v>
      </c>
      <c r="Q358" t="s">
        <v>2717</v>
      </c>
      <c r="R358">
        <v>8</v>
      </c>
      <c r="Z358" s="27" t="s">
        <v>2578</v>
      </c>
    </row>
    <row r="359" spans="16:26" hidden="1" x14ac:dyDescent="0.2">
      <c r="P359">
        <v>374</v>
      </c>
      <c r="Q359" t="s">
        <v>2723</v>
      </c>
      <c r="R359">
        <v>18</v>
      </c>
      <c r="Z359" s="27" t="s">
        <v>2580</v>
      </c>
    </row>
    <row r="360" spans="16:26" hidden="1" x14ac:dyDescent="0.2">
      <c r="P360">
        <v>375</v>
      </c>
      <c r="Q360" t="s">
        <v>2726</v>
      </c>
      <c r="R360">
        <v>7</v>
      </c>
      <c r="Z360" s="27" t="s">
        <v>2582</v>
      </c>
    </row>
    <row r="361" spans="16:26" hidden="1" x14ac:dyDescent="0.2">
      <c r="P361">
        <v>376</v>
      </c>
      <c r="Q361" t="s">
        <v>2729</v>
      </c>
      <c r="R361">
        <v>1</v>
      </c>
      <c r="Z361" s="27" t="s">
        <v>2584</v>
      </c>
    </row>
    <row r="362" spans="16:26" hidden="1" x14ac:dyDescent="0.2">
      <c r="P362">
        <v>377</v>
      </c>
      <c r="Q362" t="s">
        <v>2735</v>
      </c>
      <c r="R362">
        <v>15</v>
      </c>
      <c r="Z362" s="27" t="s">
        <v>2586</v>
      </c>
    </row>
    <row r="363" spans="16:26" hidden="1" x14ac:dyDescent="0.2">
      <c r="P363">
        <v>378</v>
      </c>
      <c r="Q363" t="s">
        <v>2738</v>
      </c>
      <c r="R363">
        <v>4</v>
      </c>
      <c r="Z363" s="27" t="s">
        <v>2588</v>
      </c>
    </row>
    <row r="364" spans="16:26" hidden="1" x14ac:dyDescent="0.2">
      <c r="P364">
        <v>379</v>
      </c>
      <c r="Q364" t="s">
        <v>2741</v>
      </c>
      <c r="R364">
        <v>13</v>
      </c>
      <c r="Z364" s="27" t="s">
        <v>2590</v>
      </c>
    </row>
    <row r="365" spans="16:26" hidden="1" x14ac:dyDescent="0.2">
      <c r="P365">
        <v>380</v>
      </c>
      <c r="Q365" t="s">
        <v>1607</v>
      </c>
      <c r="R365">
        <v>1</v>
      </c>
      <c r="Z365" s="27" t="s">
        <v>1387</v>
      </c>
    </row>
    <row r="366" spans="16:26" hidden="1" x14ac:dyDescent="0.2">
      <c r="P366">
        <v>381</v>
      </c>
      <c r="Q366" t="s">
        <v>1610</v>
      </c>
      <c r="R366">
        <v>14</v>
      </c>
      <c r="Z366" s="27" t="s">
        <v>1389</v>
      </c>
    </row>
    <row r="367" spans="16:26" hidden="1" x14ac:dyDescent="0.2">
      <c r="P367">
        <v>382</v>
      </c>
      <c r="Q367" t="s">
        <v>1613</v>
      </c>
      <c r="R367">
        <v>17</v>
      </c>
      <c r="Z367" s="27" t="s">
        <v>1391</v>
      </c>
    </row>
    <row r="368" spans="16:26" hidden="1" x14ac:dyDescent="0.2">
      <c r="P368">
        <v>383</v>
      </c>
      <c r="Q368" t="s">
        <v>1616</v>
      </c>
      <c r="R368">
        <v>17</v>
      </c>
      <c r="Z368" s="27" t="s">
        <v>1393</v>
      </c>
    </row>
    <row r="369" spans="16:26" hidden="1" x14ac:dyDescent="0.2">
      <c r="P369">
        <v>385</v>
      </c>
      <c r="Q369" t="s">
        <v>1619</v>
      </c>
      <c r="R369">
        <v>20</v>
      </c>
      <c r="Z369" s="27" t="s">
        <v>171</v>
      </c>
    </row>
    <row r="370" spans="16:26" hidden="1" x14ac:dyDescent="0.2">
      <c r="P370">
        <v>386</v>
      </c>
      <c r="Q370" t="s">
        <v>1622</v>
      </c>
      <c r="R370">
        <v>14</v>
      </c>
      <c r="Z370" s="27" t="s">
        <v>173</v>
      </c>
    </row>
    <row r="371" spans="16:26" hidden="1" x14ac:dyDescent="0.2">
      <c r="P371">
        <v>387</v>
      </c>
      <c r="Q371" t="s">
        <v>1625</v>
      </c>
      <c r="R371">
        <v>9</v>
      </c>
      <c r="Z371" s="27" t="s">
        <v>175</v>
      </c>
    </row>
    <row r="372" spans="16:26" hidden="1" x14ac:dyDescent="0.2">
      <c r="P372">
        <v>388</v>
      </c>
      <c r="Q372" t="s">
        <v>1631</v>
      </c>
      <c r="R372">
        <v>12</v>
      </c>
      <c r="Z372" s="27" t="s">
        <v>177</v>
      </c>
    </row>
    <row r="373" spans="16:26" hidden="1" x14ac:dyDescent="0.2">
      <c r="P373">
        <v>389</v>
      </c>
      <c r="Q373" t="s">
        <v>1637</v>
      </c>
      <c r="R373">
        <v>17</v>
      </c>
      <c r="Z373" s="27" t="s">
        <v>179</v>
      </c>
    </row>
    <row r="374" spans="16:26" hidden="1" x14ac:dyDescent="0.2">
      <c r="P374">
        <v>390</v>
      </c>
      <c r="Q374" t="s">
        <v>1640</v>
      </c>
      <c r="R374">
        <v>7</v>
      </c>
      <c r="Z374" s="27" t="s">
        <v>1080</v>
      </c>
    </row>
    <row r="375" spans="16:26" hidden="1" x14ac:dyDescent="0.2">
      <c r="P375">
        <v>391</v>
      </c>
      <c r="Q375" t="s">
        <v>1643</v>
      </c>
      <c r="R375">
        <v>3</v>
      </c>
      <c r="Z375" s="27" t="s">
        <v>1082</v>
      </c>
    </row>
    <row r="376" spans="16:26" hidden="1" x14ac:dyDescent="0.2">
      <c r="P376">
        <v>393</v>
      </c>
      <c r="Q376" t="s">
        <v>1646</v>
      </c>
      <c r="R376">
        <v>8</v>
      </c>
      <c r="Z376" s="27" t="s">
        <v>1084</v>
      </c>
    </row>
    <row r="377" spans="16:26" hidden="1" x14ac:dyDescent="0.2">
      <c r="P377">
        <v>394</v>
      </c>
      <c r="Q377" t="s">
        <v>1649</v>
      </c>
      <c r="R377">
        <v>15</v>
      </c>
      <c r="Z377" s="27" t="s">
        <v>1086</v>
      </c>
    </row>
    <row r="378" spans="16:26" hidden="1" x14ac:dyDescent="0.2">
      <c r="P378">
        <v>395</v>
      </c>
      <c r="Q378" t="s">
        <v>1652</v>
      </c>
      <c r="R378">
        <v>10</v>
      </c>
      <c r="Z378" s="27" t="s">
        <v>1088</v>
      </c>
    </row>
    <row r="379" spans="16:26" hidden="1" x14ac:dyDescent="0.2">
      <c r="P379">
        <v>396</v>
      </c>
      <c r="Q379" t="s">
        <v>1485</v>
      </c>
      <c r="R379">
        <v>12</v>
      </c>
      <c r="Z379" s="27" t="s">
        <v>1090</v>
      </c>
    </row>
    <row r="380" spans="16:26" hidden="1" x14ac:dyDescent="0.2">
      <c r="P380">
        <v>397</v>
      </c>
      <c r="Q380" t="s">
        <v>1488</v>
      </c>
      <c r="R380">
        <v>12</v>
      </c>
      <c r="Z380" s="27" t="s">
        <v>1092</v>
      </c>
    </row>
    <row r="381" spans="16:26" hidden="1" x14ac:dyDescent="0.2">
      <c r="P381">
        <v>399</v>
      </c>
      <c r="Q381" t="s">
        <v>1491</v>
      </c>
      <c r="R381">
        <v>19</v>
      </c>
      <c r="Z381" s="27" t="s">
        <v>1094</v>
      </c>
    </row>
    <row r="382" spans="16:26" hidden="1" x14ac:dyDescent="0.2">
      <c r="P382">
        <v>400</v>
      </c>
      <c r="Q382" t="s">
        <v>1494</v>
      </c>
      <c r="R382">
        <v>4</v>
      </c>
      <c r="Z382" s="27" t="s">
        <v>1096</v>
      </c>
    </row>
    <row r="383" spans="16:26" hidden="1" x14ac:dyDescent="0.2">
      <c r="P383">
        <v>402</v>
      </c>
      <c r="Q383" t="s">
        <v>1497</v>
      </c>
      <c r="R383">
        <v>19</v>
      </c>
      <c r="Z383" s="27" t="s">
        <v>1098</v>
      </c>
    </row>
    <row r="384" spans="16:26" hidden="1" x14ac:dyDescent="0.2">
      <c r="P384">
        <v>405</v>
      </c>
      <c r="Q384" t="s">
        <v>1927</v>
      </c>
      <c r="R384">
        <v>6</v>
      </c>
      <c r="Z384" s="27" t="s">
        <v>1100</v>
      </c>
    </row>
    <row r="385" spans="16:26" hidden="1" x14ac:dyDescent="0.2">
      <c r="P385">
        <v>406</v>
      </c>
      <c r="Q385" t="s">
        <v>1930</v>
      </c>
      <c r="R385">
        <v>17</v>
      </c>
      <c r="Z385" s="27" t="s">
        <v>1102</v>
      </c>
    </row>
    <row r="386" spans="16:26" hidden="1" x14ac:dyDescent="0.2">
      <c r="P386">
        <v>407</v>
      </c>
      <c r="Q386" t="s">
        <v>1933</v>
      </c>
      <c r="R386">
        <v>10</v>
      </c>
      <c r="Z386" s="27" t="s">
        <v>2027</v>
      </c>
    </row>
    <row r="387" spans="16:26" hidden="1" x14ac:dyDescent="0.2">
      <c r="P387">
        <v>409</v>
      </c>
      <c r="Q387" t="s">
        <v>1936</v>
      </c>
      <c r="R387">
        <v>17</v>
      </c>
      <c r="Z387" s="27" t="s">
        <v>2029</v>
      </c>
    </row>
    <row r="388" spans="16:26" hidden="1" x14ac:dyDescent="0.2">
      <c r="P388">
        <v>410</v>
      </c>
      <c r="Q388" t="s">
        <v>1939</v>
      </c>
      <c r="R388">
        <v>5</v>
      </c>
      <c r="Z388" s="27" t="s">
        <v>2031</v>
      </c>
    </row>
    <row r="389" spans="16:26" hidden="1" x14ac:dyDescent="0.2">
      <c r="P389">
        <v>411</v>
      </c>
      <c r="Q389" t="s">
        <v>1942</v>
      </c>
      <c r="R389">
        <v>13</v>
      </c>
      <c r="Z389" s="27" t="s">
        <v>2033</v>
      </c>
    </row>
    <row r="390" spans="16:26" hidden="1" x14ac:dyDescent="0.2">
      <c r="P390">
        <v>412</v>
      </c>
      <c r="Q390" t="s">
        <v>1945</v>
      </c>
      <c r="R390">
        <v>12</v>
      </c>
      <c r="Z390" s="27" t="s">
        <v>2035</v>
      </c>
    </row>
    <row r="391" spans="16:26" hidden="1" x14ac:dyDescent="0.2">
      <c r="P391">
        <v>413</v>
      </c>
      <c r="Q391" t="s">
        <v>1948</v>
      </c>
      <c r="R391">
        <v>17</v>
      </c>
      <c r="Z391" s="27" t="s">
        <v>2037</v>
      </c>
    </row>
    <row r="392" spans="16:26" hidden="1" x14ac:dyDescent="0.2">
      <c r="P392">
        <v>414</v>
      </c>
      <c r="Q392" t="s">
        <v>1951</v>
      </c>
      <c r="R392">
        <v>16</v>
      </c>
      <c r="Z392" s="27" t="s">
        <v>2439</v>
      </c>
    </row>
    <row r="393" spans="16:26" hidden="1" x14ac:dyDescent="0.2">
      <c r="P393">
        <v>415</v>
      </c>
      <c r="Q393" t="s">
        <v>1954</v>
      </c>
      <c r="R393">
        <v>16</v>
      </c>
      <c r="Z393" s="27" t="s">
        <v>2558</v>
      </c>
    </row>
    <row r="394" spans="16:26" hidden="1" x14ac:dyDescent="0.2">
      <c r="P394">
        <v>416</v>
      </c>
      <c r="Q394" t="s">
        <v>1957</v>
      </c>
      <c r="R394">
        <v>13</v>
      </c>
      <c r="Z394" s="27" t="s">
        <v>2560</v>
      </c>
    </row>
    <row r="395" spans="16:26" hidden="1" x14ac:dyDescent="0.2">
      <c r="P395">
        <v>418</v>
      </c>
      <c r="Q395" t="s">
        <v>1960</v>
      </c>
      <c r="R395">
        <v>12</v>
      </c>
      <c r="Z395" s="27" t="s">
        <v>2562</v>
      </c>
    </row>
    <row r="396" spans="16:26" hidden="1" x14ac:dyDescent="0.2">
      <c r="P396">
        <v>419</v>
      </c>
      <c r="Q396" t="s">
        <v>1963</v>
      </c>
      <c r="R396">
        <v>19</v>
      </c>
      <c r="Z396" s="27" t="s">
        <v>2564</v>
      </c>
    </row>
    <row r="397" spans="16:26" hidden="1" x14ac:dyDescent="0.2">
      <c r="P397">
        <v>421</v>
      </c>
      <c r="Q397" t="s">
        <v>1969</v>
      </c>
      <c r="R397">
        <v>14</v>
      </c>
      <c r="Z397" s="27" t="s">
        <v>2566</v>
      </c>
    </row>
    <row r="398" spans="16:26" hidden="1" x14ac:dyDescent="0.2">
      <c r="P398">
        <v>422</v>
      </c>
      <c r="Q398" t="s">
        <v>1972</v>
      </c>
      <c r="R398">
        <v>2</v>
      </c>
      <c r="Z398" s="27" t="s">
        <v>1187</v>
      </c>
    </row>
    <row r="399" spans="16:26" hidden="1" x14ac:dyDescent="0.2">
      <c r="P399">
        <v>423</v>
      </c>
      <c r="Q399" t="s">
        <v>1978</v>
      </c>
      <c r="R399">
        <v>17</v>
      </c>
      <c r="Z399" s="27" t="s">
        <v>2338</v>
      </c>
    </row>
    <row r="400" spans="16:26" hidden="1" x14ac:dyDescent="0.2">
      <c r="P400">
        <v>424</v>
      </c>
      <c r="Q400" t="s">
        <v>1981</v>
      </c>
      <c r="R400">
        <v>10</v>
      </c>
      <c r="Z400" s="27" t="s">
        <v>2340</v>
      </c>
    </row>
    <row r="401" spans="16:26" hidden="1" x14ac:dyDescent="0.2">
      <c r="P401">
        <v>425</v>
      </c>
      <c r="Q401" t="s">
        <v>1984</v>
      </c>
      <c r="R401">
        <v>13</v>
      </c>
      <c r="Z401" s="27" t="s">
        <v>2342</v>
      </c>
    </row>
    <row r="402" spans="16:26" hidden="1" x14ac:dyDescent="0.2">
      <c r="P402">
        <v>426</v>
      </c>
      <c r="Q402" t="s">
        <v>1987</v>
      </c>
      <c r="R402">
        <v>3</v>
      </c>
      <c r="Z402" s="27" t="s">
        <v>2344</v>
      </c>
    </row>
    <row r="403" spans="16:26" hidden="1" x14ac:dyDescent="0.2">
      <c r="P403">
        <v>427</v>
      </c>
      <c r="Q403" t="s">
        <v>1990</v>
      </c>
      <c r="R403">
        <v>17</v>
      </c>
      <c r="Z403" s="27" t="s">
        <v>2346</v>
      </c>
    </row>
    <row r="404" spans="16:26" hidden="1" x14ac:dyDescent="0.2">
      <c r="P404">
        <v>428</v>
      </c>
      <c r="Q404" t="s">
        <v>2008</v>
      </c>
      <c r="R404">
        <v>13</v>
      </c>
      <c r="Z404" s="27" t="s">
        <v>2348</v>
      </c>
    </row>
    <row r="405" spans="16:26" hidden="1" x14ac:dyDescent="0.2">
      <c r="P405">
        <v>429</v>
      </c>
      <c r="Q405" t="s">
        <v>2303</v>
      </c>
      <c r="R405">
        <v>1</v>
      </c>
      <c r="Z405" s="27" t="s">
        <v>2350</v>
      </c>
    </row>
    <row r="406" spans="16:26" hidden="1" x14ac:dyDescent="0.2">
      <c r="P406">
        <v>430</v>
      </c>
      <c r="Q406" t="s">
        <v>1669</v>
      </c>
      <c r="R406">
        <v>2</v>
      </c>
      <c r="Z406" s="27" t="s">
        <v>2072</v>
      </c>
    </row>
    <row r="407" spans="16:26" hidden="1" x14ac:dyDescent="0.2">
      <c r="P407">
        <v>431</v>
      </c>
      <c r="Q407" t="s">
        <v>1672</v>
      </c>
      <c r="R407">
        <v>18</v>
      </c>
      <c r="Z407" s="27" t="s">
        <v>2074</v>
      </c>
    </row>
    <row r="408" spans="16:26" hidden="1" x14ac:dyDescent="0.2">
      <c r="P408">
        <v>432</v>
      </c>
      <c r="Q408" t="s">
        <v>1999</v>
      </c>
      <c r="R408">
        <v>18</v>
      </c>
      <c r="Z408" s="27" t="s">
        <v>2076</v>
      </c>
    </row>
    <row r="409" spans="16:26" hidden="1" x14ac:dyDescent="0.2">
      <c r="P409">
        <v>433</v>
      </c>
      <c r="Q409" t="s">
        <v>1681</v>
      </c>
      <c r="R409">
        <v>18</v>
      </c>
      <c r="Z409" s="27" t="s">
        <v>2078</v>
      </c>
    </row>
    <row r="410" spans="16:26" hidden="1" x14ac:dyDescent="0.2">
      <c r="P410">
        <v>435</v>
      </c>
      <c r="Q410" t="s">
        <v>1684</v>
      </c>
      <c r="R410">
        <v>18</v>
      </c>
      <c r="Z410" s="27" t="s">
        <v>2080</v>
      </c>
    </row>
    <row r="411" spans="16:26" hidden="1" x14ac:dyDescent="0.2">
      <c r="P411">
        <v>436</v>
      </c>
      <c r="Q411" t="s">
        <v>2002</v>
      </c>
      <c r="R411">
        <v>1</v>
      </c>
      <c r="Z411" s="27" t="s">
        <v>2082</v>
      </c>
    </row>
    <row r="412" spans="16:26" hidden="1" x14ac:dyDescent="0.2">
      <c r="P412">
        <v>437</v>
      </c>
      <c r="Q412" t="s">
        <v>2005</v>
      </c>
      <c r="R412">
        <v>5</v>
      </c>
      <c r="Z412" s="27" t="s">
        <v>848</v>
      </c>
    </row>
    <row r="413" spans="16:26" hidden="1" x14ac:dyDescent="0.2">
      <c r="P413">
        <v>438</v>
      </c>
      <c r="Q413" t="s">
        <v>2300</v>
      </c>
      <c r="R413">
        <v>5</v>
      </c>
      <c r="Z413" s="27" t="s">
        <v>850</v>
      </c>
    </row>
    <row r="414" spans="16:26" hidden="1" x14ac:dyDescent="0.2">
      <c r="P414">
        <v>439</v>
      </c>
      <c r="Q414" t="s">
        <v>2306</v>
      </c>
      <c r="R414">
        <v>6</v>
      </c>
      <c r="Z414" s="27" t="s">
        <v>1177</v>
      </c>
    </row>
    <row r="415" spans="16:26" hidden="1" x14ac:dyDescent="0.2">
      <c r="P415">
        <v>440</v>
      </c>
      <c r="Q415" t="s">
        <v>2309</v>
      </c>
      <c r="R415">
        <v>20</v>
      </c>
      <c r="Z415" s="27" t="s">
        <v>1179</v>
      </c>
    </row>
    <row r="416" spans="16:26" hidden="1" x14ac:dyDescent="0.2">
      <c r="P416">
        <v>441</v>
      </c>
      <c r="Q416" t="s">
        <v>1675</v>
      </c>
      <c r="R416">
        <v>20</v>
      </c>
      <c r="Z416" s="27" t="s">
        <v>1181</v>
      </c>
    </row>
    <row r="417" spans="16:26" hidden="1" x14ac:dyDescent="0.2">
      <c r="P417">
        <v>442</v>
      </c>
      <c r="Q417" t="s">
        <v>1678</v>
      </c>
      <c r="R417">
        <v>6</v>
      </c>
      <c r="Z417" s="27" t="s">
        <v>1183</v>
      </c>
    </row>
    <row r="418" spans="16:26" hidden="1" x14ac:dyDescent="0.2">
      <c r="P418">
        <v>443</v>
      </c>
      <c r="Q418" t="s">
        <v>1693</v>
      </c>
      <c r="R418">
        <v>17</v>
      </c>
      <c r="Z418" s="27" t="s">
        <v>1185</v>
      </c>
    </row>
    <row r="419" spans="16:26" hidden="1" x14ac:dyDescent="0.2">
      <c r="P419">
        <v>444</v>
      </c>
      <c r="Q419" t="s">
        <v>1696</v>
      </c>
      <c r="R419">
        <v>15</v>
      </c>
      <c r="Z419" s="27" t="s">
        <v>132</v>
      </c>
    </row>
    <row r="420" spans="16:26" hidden="1" x14ac:dyDescent="0.2">
      <c r="P420">
        <v>445</v>
      </c>
      <c r="Q420" t="s">
        <v>1699</v>
      </c>
      <c r="R420">
        <v>13</v>
      </c>
      <c r="Z420" s="27" t="s">
        <v>134</v>
      </c>
    </row>
    <row r="421" spans="16:26" hidden="1" x14ac:dyDescent="0.2">
      <c r="P421">
        <v>447</v>
      </c>
      <c r="Q421" t="s">
        <v>1705</v>
      </c>
      <c r="R421">
        <v>17</v>
      </c>
      <c r="Z421" s="27" t="s">
        <v>136</v>
      </c>
    </row>
    <row r="422" spans="16:26" hidden="1" x14ac:dyDescent="0.2">
      <c r="P422">
        <v>449</v>
      </c>
      <c r="Q422" t="s">
        <v>1708</v>
      </c>
      <c r="R422">
        <v>10</v>
      </c>
      <c r="Z422" s="27" t="s">
        <v>1224</v>
      </c>
    </row>
    <row r="423" spans="16:26" hidden="1" x14ac:dyDescent="0.2">
      <c r="P423">
        <v>450</v>
      </c>
      <c r="Q423" t="s">
        <v>1711</v>
      </c>
      <c r="R423">
        <v>7</v>
      </c>
      <c r="Z423" s="27" t="s">
        <v>875</v>
      </c>
    </row>
    <row r="424" spans="16:26" hidden="1" x14ac:dyDescent="0.2">
      <c r="P424">
        <v>452</v>
      </c>
      <c r="Q424" t="s">
        <v>495</v>
      </c>
      <c r="R424">
        <v>20</v>
      </c>
      <c r="Z424" s="27" t="s">
        <v>877</v>
      </c>
    </row>
    <row r="425" spans="16:26" hidden="1" x14ac:dyDescent="0.2">
      <c r="P425">
        <v>453</v>
      </c>
      <c r="Q425" t="s">
        <v>1382</v>
      </c>
      <c r="R425">
        <v>18</v>
      </c>
      <c r="Z425" s="27" t="s">
        <v>879</v>
      </c>
    </row>
    <row r="426" spans="16:26" hidden="1" x14ac:dyDescent="0.2">
      <c r="P426">
        <v>454</v>
      </c>
      <c r="Q426" t="s">
        <v>1385</v>
      </c>
      <c r="R426">
        <v>15</v>
      </c>
      <c r="Z426" s="27" t="s">
        <v>398</v>
      </c>
    </row>
    <row r="427" spans="16:26" hidden="1" x14ac:dyDescent="0.2">
      <c r="P427">
        <v>455</v>
      </c>
      <c r="Q427" t="s">
        <v>1310</v>
      </c>
      <c r="R427">
        <v>9</v>
      </c>
      <c r="Z427" s="27" t="s">
        <v>400</v>
      </c>
    </row>
    <row r="428" spans="16:26" hidden="1" x14ac:dyDescent="0.2">
      <c r="P428">
        <v>456</v>
      </c>
      <c r="Q428" t="s">
        <v>2443</v>
      </c>
      <c r="R428">
        <v>16</v>
      </c>
      <c r="Z428" s="27" t="s">
        <v>402</v>
      </c>
    </row>
    <row r="429" spans="16:26" hidden="1" x14ac:dyDescent="0.2">
      <c r="P429">
        <v>457</v>
      </c>
      <c r="Q429" t="s">
        <v>2446</v>
      </c>
      <c r="R429">
        <v>3</v>
      </c>
      <c r="Z429" s="27" t="s">
        <v>2600</v>
      </c>
    </row>
    <row r="430" spans="16:26" hidden="1" x14ac:dyDescent="0.2">
      <c r="P430">
        <v>458</v>
      </c>
      <c r="Q430" t="s">
        <v>2449</v>
      </c>
      <c r="R430">
        <v>16</v>
      </c>
      <c r="Z430" s="27" t="s">
        <v>2602</v>
      </c>
    </row>
    <row r="431" spans="16:26" hidden="1" x14ac:dyDescent="0.2">
      <c r="P431">
        <v>459</v>
      </c>
      <c r="Q431" t="s">
        <v>2455</v>
      </c>
      <c r="R431">
        <v>16</v>
      </c>
      <c r="Z431" s="27" t="s">
        <v>2604</v>
      </c>
    </row>
    <row r="432" spans="16:26" hidden="1" x14ac:dyDescent="0.2">
      <c r="P432">
        <v>460</v>
      </c>
      <c r="Q432" t="s">
        <v>2461</v>
      </c>
      <c r="R432">
        <v>17</v>
      </c>
      <c r="Z432" s="27" t="s">
        <v>2606</v>
      </c>
    </row>
    <row r="433" spans="16:26" hidden="1" x14ac:dyDescent="0.2">
      <c r="P433">
        <v>461</v>
      </c>
      <c r="Q433" t="s">
        <v>2418</v>
      </c>
      <c r="R433">
        <v>14</v>
      </c>
      <c r="Z433" s="27" t="s">
        <v>1202</v>
      </c>
    </row>
    <row r="434" spans="16:26" hidden="1" x14ac:dyDescent="0.2">
      <c r="P434">
        <v>462</v>
      </c>
      <c r="Q434" t="s">
        <v>2421</v>
      </c>
      <c r="R434">
        <v>5</v>
      </c>
      <c r="Z434" s="27" t="s">
        <v>1204</v>
      </c>
    </row>
    <row r="435" spans="16:26" hidden="1" x14ac:dyDescent="0.2">
      <c r="P435">
        <v>463</v>
      </c>
      <c r="Q435" t="s">
        <v>2424</v>
      </c>
      <c r="R435">
        <v>17</v>
      </c>
      <c r="Z435" s="27" t="s">
        <v>1743</v>
      </c>
    </row>
    <row r="436" spans="16:26" hidden="1" x14ac:dyDescent="0.2">
      <c r="P436">
        <v>464</v>
      </c>
      <c r="Q436" t="s">
        <v>268</v>
      </c>
      <c r="R436">
        <v>16</v>
      </c>
      <c r="Z436" s="27" t="s">
        <v>1745</v>
      </c>
    </row>
    <row r="437" spans="16:26" hidden="1" x14ac:dyDescent="0.2">
      <c r="P437">
        <v>466</v>
      </c>
      <c r="Q437" t="s">
        <v>274</v>
      </c>
      <c r="R437">
        <v>2</v>
      </c>
      <c r="Z437" s="27" t="s">
        <v>1747</v>
      </c>
    </row>
    <row r="438" spans="16:26" hidden="1" x14ac:dyDescent="0.2">
      <c r="P438">
        <v>467</v>
      </c>
      <c r="Q438" t="s">
        <v>277</v>
      </c>
      <c r="R438">
        <v>9</v>
      </c>
      <c r="Z438" s="27" t="s">
        <v>1749</v>
      </c>
    </row>
    <row r="439" spans="16:26" hidden="1" x14ac:dyDescent="0.2">
      <c r="P439">
        <v>468</v>
      </c>
      <c r="Q439" t="s">
        <v>280</v>
      </c>
      <c r="R439">
        <v>18</v>
      </c>
      <c r="Z439" s="27" t="s">
        <v>1751</v>
      </c>
    </row>
    <row r="440" spans="16:26" hidden="1" x14ac:dyDescent="0.2">
      <c r="P440">
        <v>469</v>
      </c>
      <c r="Q440" t="s">
        <v>283</v>
      </c>
      <c r="R440">
        <v>15</v>
      </c>
      <c r="Z440" s="27" t="s">
        <v>2145</v>
      </c>
    </row>
    <row r="441" spans="16:26" hidden="1" x14ac:dyDescent="0.2">
      <c r="P441">
        <v>471</v>
      </c>
      <c r="Q441" t="s">
        <v>286</v>
      </c>
      <c r="R441">
        <v>14</v>
      </c>
      <c r="Z441" s="27" t="s">
        <v>2147</v>
      </c>
    </row>
    <row r="442" spans="16:26" hidden="1" x14ac:dyDescent="0.2">
      <c r="P442">
        <v>472</v>
      </c>
      <c r="Q442" t="s">
        <v>289</v>
      </c>
      <c r="R442">
        <v>5</v>
      </c>
      <c r="Z442" s="27" t="s">
        <v>2149</v>
      </c>
    </row>
    <row r="443" spans="16:26" hidden="1" x14ac:dyDescent="0.2">
      <c r="P443">
        <v>473</v>
      </c>
      <c r="Q443" t="s">
        <v>1206</v>
      </c>
      <c r="R443">
        <v>5</v>
      </c>
      <c r="Z443" s="27" t="s">
        <v>2151</v>
      </c>
    </row>
    <row r="444" spans="16:26" hidden="1" x14ac:dyDescent="0.2">
      <c r="P444">
        <v>474</v>
      </c>
      <c r="Q444" t="s">
        <v>1209</v>
      </c>
      <c r="R444">
        <v>19</v>
      </c>
      <c r="Z444" s="27" t="s">
        <v>2153</v>
      </c>
    </row>
    <row r="445" spans="16:26" hidden="1" x14ac:dyDescent="0.2">
      <c r="P445">
        <v>475</v>
      </c>
      <c r="Q445" t="s">
        <v>1212</v>
      </c>
      <c r="R445">
        <v>11</v>
      </c>
      <c r="Z445" s="27" t="s">
        <v>2155</v>
      </c>
    </row>
    <row r="446" spans="16:26" hidden="1" x14ac:dyDescent="0.2">
      <c r="P446">
        <v>476</v>
      </c>
      <c r="Q446" t="s">
        <v>1218</v>
      </c>
      <c r="R446">
        <v>12</v>
      </c>
      <c r="Z446" s="27" t="s">
        <v>2157</v>
      </c>
    </row>
    <row r="447" spans="16:26" hidden="1" x14ac:dyDescent="0.2">
      <c r="P447">
        <v>477</v>
      </c>
      <c r="Q447" t="s">
        <v>1221</v>
      </c>
      <c r="R447">
        <v>3</v>
      </c>
      <c r="Z447" s="27" t="s">
        <v>2159</v>
      </c>
    </row>
    <row r="448" spans="16:26" hidden="1" x14ac:dyDescent="0.2">
      <c r="P448">
        <v>478</v>
      </c>
      <c r="Q448" t="s">
        <v>55</v>
      </c>
      <c r="R448">
        <v>7</v>
      </c>
      <c r="Z448" s="27" t="s">
        <v>2161</v>
      </c>
    </row>
    <row r="449" spans="16:26" hidden="1" x14ac:dyDescent="0.2">
      <c r="P449">
        <v>480</v>
      </c>
      <c r="Q449" t="s">
        <v>64</v>
      </c>
      <c r="R449">
        <v>7</v>
      </c>
      <c r="Z449" s="27" t="s">
        <v>2163</v>
      </c>
    </row>
    <row r="450" spans="16:26" hidden="1" x14ac:dyDescent="0.2">
      <c r="P450">
        <v>481</v>
      </c>
      <c r="Q450" t="s">
        <v>147</v>
      </c>
      <c r="R450">
        <v>2</v>
      </c>
      <c r="Z450" s="27" t="s">
        <v>2165</v>
      </c>
    </row>
    <row r="451" spans="16:26" hidden="1" x14ac:dyDescent="0.2">
      <c r="P451">
        <v>483</v>
      </c>
      <c r="Q451" t="s">
        <v>150</v>
      </c>
      <c r="R451">
        <v>7</v>
      </c>
      <c r="Z451" s="27" t="s">
        <v>2167</v>
      </c>
    </row>
    <row r="452" spans="16:26" hidden="1" x14ac:dyDescent="0.2">
      <c r="P452">
        <v>484</v>
      </c>
      <c r="Q452" t="s">
        <v>1252</v>
      </c>
      <c r="R452">
        <v>5</v>
      </c>
      <c r="Z452" s="27" t="s">
        <v>2169</v>
      </c>
    </row>
    <row r="453" spans="16:26" hidden="1" x14ac:dyDescent="0.2">
      <c r="P453">
        <v>485</v>
      </c>
      <c r="Q453" t="s">
        <v>1255</v>
      </c>
      <c r="R453">
        <v>14</v>
      </c>
      <c r="Z453" s="27" t="s">
        <v>2171</v>
      </c>
    </row>
    <row r="454" spans="16:26" hidden="1" x14ac:dyDescent="0.2">
      <c r="P454">
        <v>486</v>
      </c>
      <c r="Q454" t="s">
        <v>1258</v>
      </c>
      <c r="R454">
        <v>5</v>
      </c>
      <c r="Z454" s="27" t="s">
        <v>2173</v>
      </c>
    </row>
    <row r="455" spans="16:26" hidden="1" x14ac:dyDescent="0.2">
      <c r="P455">
        <v>487</v>
      </c>
      <c r="Q455" t="s">
        <v>1261</v>
      </c>
      <c r="R455">
        <v>16</v>
      </c>
      <c r="Z455" s="27" t="s">
        <v>105</v>
      </c>
    </row>
    <row r="456" spans="16:26" hidden="1" x14ac:dyDescent="0.2">
      <c r="P456">
        <v>488</v>
      </c>
      <c r="Q456" t="s">
        <v>1264</v>
      </c>
      <c r="R456">
        <v>8</v>
      </c>
      <c r="Z456" s="27" t="s">
        <v>107</v>
      </c>
    </row>
    <row r="457" spans="16:26" hidden="1" x14ac:dyDescent="0.2">
      <c r="P457">
        <v>489</v>
      </c>
      <c r="Q457" t="s">
        <v>1267</v>
      </c>
      <c r="R457">
        <v>13</v>
      </c>
      <c r="Z457" s="27" t="s">
        <v>109</v>
      </c>
    </row>
    <row r="458" spans="16:26" hidden="1" x14ac:dyDescent="0.2">
      <c r="P458">
        <v>490</v>
      </c>
      <c r="Q458" t="s">
        <v>1270</v>
      </c>
      <c r="R458">
        <v>6</v>
      </c>
      <c r="Z458" s="27" t="s">
        <v>111</v>
      </c>
    </row>
    <row r="459" spans="16:26" hidden="1" x14ac:dyDescent="0.2">
      <c r="P459">
        <v>491</v>
      </c>
      <c r="Q459" t="s">
        <v>1273</v>
      </c>
      <c r="R459">
        <v>10</v>
      </c>
      <c r="Z459" s="27" t="s">
        <v>113</v>
      </c>
    </row>
    <row r="460" spans="16:26" hidden="1" x14ac:dyDescent="0.2">
      <c r="P460">
        <v>492</v>
      </c>
      <c r="Q460" t="s">
        <v>1276</v>
      </c>
      <c r="R460">
        <v>17</v>
      </c>
      <c r="Z460" s="27" t="s">
        <v>115</v>
      </c>
    </row>
    <row r="461" spans="16:26" hidden="1" x14ac:dyDescent="0.2">
      <c r="P461">
        <v>493</v>
      </c>
      <c r="Q461" t="s">
        <v>1279</v>
      </c>
      <c r="R461">
        <v>5</v>
      </c>
      <c r="Z461" s="27" t="s">
        <v>117</v>
      </c>
    </row>
    <row r="462" spans="16:26" hidden="1" x14ac:dyDescent="0.2">
      <c r="P462">
        <v>494</v>
      </c>
      <c r="Q462" t="s">
        <v>1282</v>
      </c>
      <c r="R462">
        <v>14</v>
      </c>
      <c r="Z462" s="27" t="s">
        <v>119</v>
      </c>
    </row>
    <row r="463" spans="16:26" hidden="1" x14ac:dyDescent="0.2">
      <c r="P463">
        <v>495</v>
      </c>
      <c r="Q463" t="s">
        <v>1285</v>
      </c>
      <c r="R463">
        <v>8</v>
      </c>
      <c r="Z463" s="27" t="s">
        <v>121</v>
      </c>
    </row>
    <row r="464" spans="16:26" hidden="1" x14ac:dyDescent="0.2">
      <c r="P464">
        <v>497</v>
      </c>
      <c r="Q464" t="s">
        <v>212</v>
      </c>
      <c r="R464">
        <v>18</v>
      </c>
      <c r="Z464" s="27" t="s">
        <v>123</v>
      </c>
    </row>
    <row r="465" spans="16:26" hidden="1" x14ac:dyDescent="0.2">
      <c r="P465">
        <v>498</v>
      </c>
      <c r="Q465" t="s">
        <v>1580</v>
      </c>
      <c r="R465">
        <v>18</v>
      </c>
      <c r="Z465" s="27" t="s">
        <v>125</v>
      </c>
    </row>
    <row r="466" spans="16:26" hidden="1" x14ac:dyDescent="0.2">
      <c r="P466">
        <v>499</v>
      </c>
      <c r="Q466" t="s">
        <v>1586</v>
      </c>
      <c r="R466">
        <v>10</v>
      </c>
      <c r="Z466" s="27" t="s">
        <v>127</v>
      </c>
    </row>
    <row r="467" spans="16:26" hidden="1" x14ac:dyDescent="0.2">
      <c r="P467">
        <v>500</v>
      </c>
      <c r="Q467" t="s">
        <v>1589</v>
      </c>
      <c r="R467">
        <v>15</v>
      </c>
      <c r="Z467" s="27" t="s">
        <v>129</v>
      </c>
    </row>
    <row r="468" spans="16:26" hidden="1" x14ac:dyDescent="0.2">
      <c r="P468">
        <v>502</v>
      </c>
      <c r="Q468" t="s">
        <v>1290</v>
      </c>
      <c r="R468">
        <v>18</v>
      </c>
      <c r="Z468" s="27" t="s">
        <v>915</v>
      </c>
    </row>
    <row r="469" spans="16:26" hidden="1" x14ac:dyDescent="0.2">
      <c r="P469">
        <v>503</v>
      </c>
      <c r="Q469" t="s">
        <v>1296</v>
      </c>
      <c r="R469">
        <v>4</v>
      </c>
      <c r="Z469" s="27" t="s">
        <v>917</v>
      </c>
    </row>
    <row r="470" spans="16:26" hidden="1" x14ac:dyDescent="0.2">
      <c r="P470">
        <v>504</v>
      </c>
      <c r="Q470" t="s">
        <v>1299</v>
      </c>
      <c r="R470">
        <v>20</v>
      </c>
      <c r="Z470" s="27" t="s">
        <v>919</v>
      </c>
    </row>
    <row r="471" spans="16:26" hidden="1" x14ac:dyDescent="0.2">
      <c r="P471">
        <v>505</v>
      </c>
      <c r="Q471" t="s">
        <v>1302</v>
      </c>
      <c r="R471">
        <v>16</v>
      </c>
      <c r="Z471" s="27" t="s">
        <v>592</v>
      </c>
    </row>
    <row r="472" spans="16:26" hidden="1" x14ac:dyDescent="0.2">
      <c r="P472">
        <v>506</v>
      </c>
      <c r="Q472" t="s">
        <v>1305</v>
      </c>
      <c r="R472">
        <v>12</v>
      </c>
      <c r="Z472" s="27" t="s">
        <v>594</v>
      </c>
    </row>
    <row r="473" spans="16:26" hidden="1" x14ac:dyDescent="0.2">
      <c r="P473">
        <v>507</v>
      </c>
      <c r="Q473" t="s">
        <v>1308</v>
      </c>
      <c r="R473">
        <v>8</v>
      </c>
      <c r="Z473" s="27" t="s">
        <v>596</v>
      </c>
    </row>
    <row r="474" spans="16:26" hidden="1" x14ac:dyDescent="0.2">
      <c r="P474">
        <v>508</v>
      </c>
      <c r="Q474" t="s">
        <v>1311</v>
      </c>
      <c r="R474">
        <v>1</v>
      </c>
      <c r="Z474" s="27" t="s">
        <v>598</v>
      </c>
    </row>
    <row r="475" spans="16:26" hidden="1" x14ac:dyDescent="0.2">
      <c r="P475">
        <v>509</v>
      </c>
      <c r="Q475" t="s">
        <v>1314</v>
      </c>
      <c r="R475">
        <v>8</v>
      </c>
      <c r="Z475" s="27" t="s">
        <v>600</v>
      </c>
    </row>
    <row r="476" spans="16:26" hidden="1" x14ac:dyDescent="0.2">
      <c r="P476">
        <v>510</v>
      </c>
      <c r="Q476" t="s">
        <v>1286</v>
      </c>
      <c r="R476">
        <v>3</v>
      </c>
      <c r="Z476" s="27" t="s">
        <v>602</v>
      </c>
    </row>
    <row r="477" spans="16:26" hidden="1" x14ac:dyDescent="0.2">
      <c r="P477">
        <v>511</v>
      </c>
      <c r="Q477" t="s">
        <v>1317</v>
      </c>
      <c r="R477">
        <v>17</v>
      </c>
      <c r="Z477" s="27" t="s">
        <v>604</v>
      </c>
    </row>
    <row r="478" spans="16:26" hidden="1" x14ac:dyDescent="0.2">
      <c r="P478">
        <v>512</v>
      </c>
      <c r="Q478" t="s">
        <v>1320</v>
      </c>
      <c r="R478">
        <v>9</v>
      </c>
      <c r="Z478" s="27" t="s">
        <v>606</v>
      </c>
    </row>
    <row r="479" spans="16:26" hidden="1" x14ac:dyDescent="0.2">
      <c r="P479">
        <v>513</v>
      </c>
      <c r="Q479" t="s">
        <v>1323</v>
      </c>
      <c r="R479">
        <v>17</v>
      </c>
      <c r="Z479" s="27" t="s">
        <v>2609</v>
      </c>
    </row>
    <row r="480" spans="16:26" hidden="1" x14ac:dyDescent="0.2">
      <c r="P480">
        <v>514</v>
      </c>
      <c r="Q480" t="s">
        <v>1326</v>
      </c>
      <c r="R480">
        <v>12</v>
      </c>
      <c r="Z480" s="27" t="s">
        <v>2611</v>
      </c>
    </row>
    <row r="481" spans="16:26" hidden="1" x14ac:dyDescent="0.2">
      <c r="P481">
        <v>516</v>
      </c>
      <c r="Q481" t="s">
        <v>1329</v>
      </c>
      <c r="R481">
        <v>18</v>
      </c>
      <c r="Z481" s="27" t="s">
        <v>2613</v>
      </c>
    </row>
    <row r="482" spans="16:26" hidden="1" x14ac:dyDescent="0.2">
      <c r="P482">
        <v>517</v>
      </c>
      <c r="Q482" t="s">
        <v>228</v>
      </c>
      <c r="R482">
        <v>14</v>
      </c>
      <c r="Z482" s="27" t="s">
        <v>2116</v>
      </c>
    </row>
    <row r="483" spans="16:26" hidden="1" x14ac:dyDescent="0.2">
      <c r="P483">
        <v>518</v>
      </c>
      <c r="Q483" t="s">
        <v>231</v>
      </c>
      <c r="R483">
        <v>16</v>
      </c>
      <c r="Z483" s="27" t="s">
        <v>2118</v>
      </c>
    </row>
    <row r="484" spans="16:26" hidden="1" x14ac:dyDescent="0.2">
      <c r="P484">
        <v>519</v>
      </c>
      <c r="Q484" t="s">
        <v>519</v>
      </c>
      <c r="R484">
        <v>2</v>
      </c>
      <c r="Z484" s="27" t="s">
        <v>2120</v>
      </c>
    </row>
    <row r="485" spans="16:26" hidden="1" x14ac:dyDescent="0.2">
      <c r="P485">
        <v>520</v>
      </c>
      <c r="Q485" t="s">
        <v>522</v>
      </c>
      <c r="R485">
        <v>13</v>
      </c>
      <c r="Z485" s="27" t="s">
        <v>2122</v>
      </c>
    </row>
    <row r="486" spans="16:26" hidden="1" x14ac:dyDescent="0.2">
      <c r="P486">
        <v>521</v>
      </c>
      <c r="Q486" t="s">
        <v>528</v>
      </c>
      <c r="R486">
        <v>2</v>
      </c>
      <c r="Z486" s="27" t="s">
        <v>2124</v>
      </c>
    </row>
    <row r="487" spans="16:26" hidden="1" x14ac:dyDescent="0.2">
      <c r="P487">
        <v>522</v>
      </c>
      <c r="Q487" t="s">
        <v>534</v>
      </c>
      <c r="R487">
        <v>17</v>
      </c>
      <c r="Z487" s="27" t="s">
        <v>2126</v>
      </c>
    </row>
    <row r="488" spans="16:26" hidden="1" x14ac:dyDescent="0.2">
      <c r="P488">
        <v>523</v>
      </c>
      <c r="Q488" t="s">
        <v>540</v>
      </c>
      <c r="R488">
        <v>19</v>
      </c>
      <c r="Z488" s="27" t="s">
        <v>2128</v>
      </c>
    </row>
    <row r="489" spans="16:26" hidden="1" x14ac:dyDescent="0.2">
      <c r="P489">
        <v>524</v>
      </c>
      <c r="Q489" t="s">
        <v>543</v>
      </c>
      <c r="R489">
        <v>10</v>
      </c>
      <c r="Z489" s="27" t="s">
        <v>2130</v>
      </c>
    </row>
    <row r="490" spans="16:26" hidden="1" x14ac:dyDescent="0.2">
      <c r="P490">
        <v>525</v>
      </c>
      <c r="Q490" t="s">
        <v>546</v>
      </c>
      <c r="R490">
        <v>13</v>
      </c>
      <c r="Z490" s="27" t="s">
        <v>2132</v>
      </c>
    </row>
    <row r="491" spans="16:26" hidden="1" x14ac:dyDescent="0.2">
      <c r="P491">
        <v>526</v>
      </c>
      <c r="Q491" t="s">
        <v>549</v>
      </c>
      <c r="R491">
        <v>2</v>
      </c>
      <c r="Z491" s="27" t="s">
        <v>2134</v>
      </c>
    </row>
    <row r="492" spans="16:26" hidden="1" x14ac:dyDescent="0.2">
      <c r="P492">
        <v>527</v>
      </c>
      <c r="Q492" t="s">
        <v>552</v>
      </c>
      <c r="R492">
        <v>2</v>
      </c>
      <c r="Z492" s="27" t="s">
        <v>2136</v>
      </c>
    </row>
    <row r="493" spans="16:26" hidden="1" x14ac:dyDescent="0.2">
      <c r="P493">
        <v>528</v>
      </c>
      <c r="Q493" t="s">
        <v>555</v>
      </c>
      <c r="R493">
        <v>17</v>
      </c>
      <c r="Z493" s="27" t="s">
        <v>2138</v>
      </c>
    </row>
    <row r="494" spans="16:26" hidden="1" x14ac:dyDescent="0.2">
      <c r="P494">
        <v>530</v>
      </c>
      <c r="Q494" t="s">
        <v>2266</v>
      </c>
      <c r="R494">
        <v>4</v>
      </c>
      <c r="Z494" s="27" t="s">
        <v>2140</v>
      </c>
    </row>
    <row r="495" spans="16:26" hidden="1" x14ac:dyDescent="0.2">
      <c r="P495">
        <v>531</v>
      </c>
      <c r="Q495" t="s">
        <v>2269</v>
      </c>
      <c r="R495">
        <v>18</v>
      </c>
      <c r="Z495" s="27" t="s">
        <v>2142</v>
      </c>
    </row>
    <row r="496" spans="16:26" hidden="1" x14ac:dyDescent="0.2">
      <c r="P496">
        <v>533</v>
      </c>
      <c r="Q496" t="s">
        <v>1606</v>
      </c>
      <c r="R496">
        <v>1</v>
      </c>
      <c r="Z496" s="27" t="s">
        <v>2144</v>
      </c>
    </row>
    <row r="497" spans="16:26" hidden="1" x14ac:dyDescent="0.2">
      <c r="P497">
        <v>534</v>
      </c>
      <c r="Q497" t="s">
        <v>242</v>
      </c>
      <c r="R497">
        <v>16</v>
      </c>
      <c r="Z497" s="27" t="s">
        <v>1483</v>
      </c>
    </row>
    <row r="498" spans="16:26" hidden="1" x14ac:dyDescent="0.2">
      <c r="P498">
        <v>535</v>
      </c>
      <c r="Q498" t="s">
        <v>1263</v>
      </c>
      <c r="R498">
        <v>16</v>
      </c>
      <c r="Z498" s="27" t="s">
        <v>1794</v>
      </c>
    </row>
    <row r="499" spans="16:26" hidden="1" x14ac:dyDescent="0.2">
      <c r="P499">
        <v>536</v>
      </c>
      <c r="Q499" t="s">
        <v>1865</v>
      </c>
      <c r="R499">
        <v>1</v>
      </c>
      <c r="Z499" s="27" t="s">
        <v>1796</v>
      </c>
    </row>
    <row r="500" spans="16:26" hidden="1" x14ac:dyDescent="0.2">
      <c r="P500">
        <v>537</v>
      </c>
      <c r="Q500" t="s">
        <v>265</v>
      </c>
      <c r="R500">
        <v>13</v>
      </c>
      <c r="Z500" s="27" t="s">
        <v>1798</v>
      </c>
    </row>
    <row r="501" spans="16:26" hidden="1" x14ac:dyDescent="0.2">
      <c r="P501">
        <v>538</v>
      </c>
      <c r="Q501" t="s">
        <v>2722</v>
      </c>
      <c r="R501">
        <v>8</v>
      </c>
      <c r="Z501" s="27" t="s">
        <v>1800</v>
      </c>
    </row>
    <row r="502" spans="16:26" hidden="1" x14ac:dyDescent="0.2">
      <c r="P502">
        <v>539</v>
      </c>
      <c r="Q502" t="s">
        <v>2010</v>
      </c>
      <c r="R502">
        <v>1</v>
      </c>
      <c r="Z502" s="27" t="s">
        <v>1802</v>
      </c>
    </row>
    <row r="503" spans="16:26" hidden="1" x14ac:dyDescent="0.2">
      <c r="P503">
        <v>540</v>
      </c>
      <c r="Q503" t="s">
        <v>236</v>
      </c>
      <c r="R503">
        <v>1</v>
      </c>
      <c r="Z503" s="27" t="s">
        <v>1804</v>
      </c>
    </row>
    <row r="504" spans="16:26" hidden="1" x14ac:dyDescent="0.2">
      <c r="P504">
        <v>541</v>
      </c>
      <c r="Q504" t="s">
        <v>1215</v>
      </c>
      <c r="R504">
        <v>1</v>
      </c>
      <c r="Z504" s="27" t="s">
        <v>1806</v>
      </c>
    </row>
    <row r="505" spans="16:26" hidden="1" x14ac:dyDescent="0.2">
      <c r="P505">
        <v>542</v>
      </c>
      <c r="Q505" t="s">
        <v>149</v>
      </c>
      <c r="R505">
        <v>1</v>
      </c>
      <c r="Z505" s="27" t="s">
        <v>1808</v>
      </c>
    </row>
    <row r="506" spans="16:26" hidden="1" x14ac:dyDescent="0.2">
      <c r="P506">
        <v>543</v>
      </c>
      <c r="Q506" t="s">
        <v>537</v>
      </c>
      <c r="R506">
        <v>1</v>
      </c>
      <c r="Z506" s="27" t="s">
        <v>1810</v>
      </c>
    </row>
    <row r="507" spans="16:26" hidden="1" x14ac:dyDescent="0.2">
      <c r="P507">
        <v>544</v>
      </c>
      <c r="Q507" t="s">
        <v>521</v>
      </c>
      <c r="R507">
        <v>1</v>
      </c>
      <c r="Z507" s="27" t="s">
        <v>1812</v>
      </c>
    </row>
    <row r="508" spans="16:26" hidden="1" x14ac:dyDescent="0.2">
      <c r="P508">
        <v>545</v>
      </c>
      <c r="Q508" t="s">
        <v>1609</v>
      </c>
      <c r="R508">
        <v>1</v>
      </c>
      <c r="Z508" s="27" t="s">
        <v>562</v>
      </c>
    </row>
    <row r="509" spans="16:26" hidden="1" x14ac:dyDescent="0.2">
      <c r="P509">
        <v>547</v>
      </c>
      <c r="Q509" t="s">
        <v>2736</v>
      </c>
      <c r="R509">
        <v>1</v>
      </c>
      <c r="Z509" s="27" t="s">
        <v>564</v>
      </c>
    </row>
    <row r="510" spans="16:26" hidden="1" x14ac:dyDescent="0.2">
      <c r="P510">
        <v>548</v>
      </c>
      <c r="Q510" t="s">
        <v>1965</v>
      </c>
      <c r="R510">
        <v>1</v>
      </c>
      <c r="Z510" s="27" t="s">
        <v>1369</v>
      </c>
    </row>
    <row r="511" spans="16:26" hidden="1" x14ac:dyDescent="0.2">
      <c r="P511">
        <v>549</v>
      </c>
      <c r="Q511" t="s">
        <v>493</v>
      </c>
      <c r="R511">
        <v>1</v>
      </c>
      <c r="Z511" s="27" t="s">
        <v>1371</v>
      </c>
    </row>
    <row r="512" spans="16:26" hidden="1" x14ac:dyDescent="0.2">
      <c r="P512">
        <v>550</v>
      </c>
      <c r="Q512" t="s">
        <v>1869</v>
      </c>
      <c r="R512">
        <v>1</v>
      </c>
      <c r="Z512" s="27" t="s">
        <v>233</v>
      </c>
    </row>
    <row r="513" spans="16:26" hidden="1" x14ac:dyDescent="0.2">
      <c r="P513">
        <v>551</v>
      </c>
      <c r="Q513" t="s">
        <v>1975</v>
      </c>
      <c r="R513">
        <v>1</v>
      </c>
      <c r="Z513" s="27" t="s">
        <v>2275</v>
      </c>
    </row>
    <row r="514" spans="16:26" hidden="1" x14ac:dyDescent="0.2">
      <c r="P514">
        <v>552</v>
      </c>
      <c r="Q514" t="s">
        <v>529</v>
      </c>
      <c r="R514">
        <v>2</v>
      </c>
      <c r="Z514" s="27" t="s">
        <v>2277</v>
      </c>
    </row>
    <row r="515" spans="16:26" hidden="1" x14ac:dyDescent="0.2">
      <c r="P515">
        <v>553</v>
      </c>
      <c r="Q515" t="s">
        <v>1633</v>
      </c>
      <c r="R515">
        <v>2</v>
      </c>
      <c r="Z515" s="27" t="s">
        <v>2279</v>
      </c>
    </row>
    <row r="516" spans="16:26" hidden="1" x14ac:dyDescent="0.2">
      <c r="P516">
        <v>554</v>
      </c>
      <c r="Q516" t="s">
        <v>2417</v>
      </c>
      <c r="R516">
        <v>2</v>
      </c>
      <c r="Z516" s="27" t="s">
        <v>2281</v>
      </c>
    </row>
    <row r="517" spans="16:26" hidden="1" x14ac:dyDescent="0.2">
      <c r="P517">
        <v>555</v>
      </c>
      <c r="Q517" t="s">
        <v>1986</v>
      </c>
      <c r="R517">
        <v>3</v>
      </c>
      <c r="Z517" s="27" t="s">
        <v>2283</v>
      </c>
    </row>
    <row r="518" spans="16:26" hidden="1" x14ac:dyDescent="0.2">
      <c r="P518">
        <v>556</v>
      </c>
      <c r="Q518" t="s">
        <v>2714</v>
      </c>
      <c r="R518">
        <v>4</v>
      </c>
      <c r="Z518" s="27" t="s">
        <v>2285</v>
      </c>
    </row>
    <row r="519" spans="16:26" hidden="1" x14ac:dyDescent="0.2">
      <c r="P519">
        <v>557</v>
      </c>
      <c r="Q519" t="s">
        <v>2452</v>
      </c>
      <c r="R519">
        <v>4</v>
      </c>
      <c r="Z519" s="27" t="s">
        <v>2287</v>
      </c>
    </row>
    <row r="520" spans="16:26" hidden="1" x14ac:dyDescent="0.2">
      <c r="P520">
        <v>558</v>
      </c>
      <c r="Q520" t="s">
        <v>61</v>
      </c>
      <c r="R520">
        <v>5</v>
      </c>
      <c r="Z520" s="27" t="s">
        <v>416</v>
      </c>
    </row>
    <row r="521" spans="16:26" hidden="1" x14ac:dyDescent="0.2">
      <c r="P521">
        <v>559</v>
      </c>
      <c r="Q521" t="s">
        <v>538</v>
      </c>
      <c r="R521">
        <v>6</v>
      </c>
      <c r="Z521" s="27" t="s">
        <v>418</v>
      </c>
    </row>
    <row r="522" spans="16:26" hidden="1" x14ac:dyDescent="0.2">
      <c r="P522">
        <v>560</v>
      </c>
      <c r="Q522" t="s">
        <v>541</v>
      </c>
      <c r="R522">
        <v>6</v>
      </c>
      <c r="Z522" s="27" t="s">
        <v>420</v>
      </c>
    </row>
    <row r="523" spans="16:26" hidden="1" x14ac:dyDescent="0.2">
      <c r="P523">
        <v>561</v>
      </c>
      <c r="Q523" t="s">
        <v>273</v>
      </c>
      <c r="R523">
        <v>6</v>
      </c>
      <c r="Z523" s="27" t="s">
        <v>422</v>
      </c>
    </row>
    <row r="524" spans="16:26" hidden="1" x14ac:dyDescent="0.2">
      <c r="P524">
        <v>562</v>
      </c>
      <c r="Q524" t="s">
        <v>1628</v>
      </c>
      <c r="R524">
        <v>7</v>
      </c>
      <c r="Z524" s="27" t="s">
        <v>424</v>
      </c>
    </row>
    <row r="525" spans="16:26" hidden="1" x14ac:dyDescent="0.2">
      <c r="P525">
        <v>564</v>
      </c>
      <c r="Q525" t="s">
        <v>1687</v>
      </c>
      <c r="R525">
        <v>7</v>
      </c>
      <c r="Z525" s="27" t="s">
        <v>426</v>
      </c>
    </row>
    <row r="526" spans="16:26" hidden="1" x14ac:dyDescent="0.2">
      <c r="P526">
        <v>565</v>
      </c>
      <c r="Q526" t="s">
        <v>58</v>
      </c>
      <c r="R526">
        <v>7</v>
      </c>
      <c r="Z526" s="27" t="s">
        <v>428</v>
      </c>
    </row>
    <row r="527" spans="16:26" hidden="1" x14ac:dyDescent="0.2">
      <c r="P527">
        <v>566</v>
      </c>
      <c r="Q527" t="s">
        <v>2263</v>
      </c>
      <c r="R527">
        <v>7</v>
      </c>
      <c r="Z527" s="27" t="s">
        <v>430</v>
      </c>
    </row>
    <row r="528" spans="16:26" hidden="1" x14ac:dyDescent="0.2">
      <c r="P528">
        <v>567</v>
      </c>
      <c r="Q528" t="s">
        <v>1492</v>
      </c>
      <c r="R528">
        <v>12</v>
      </c>
      <c r="Z528" s="27" t="s">
        <v>432</v>
      </c>
    </row>
    <row r="529" spans="16:26" hidden="1" x14ac:dyDescent="0.2">
      <c r="P529">
        <v>568</v>
      </c>
      <c r="Q529" t="s">
        <v>1691</v>
      </c>
      <c r="R529">
        <v>12</v>
      </c>
      <c r="Z529" s="27" t="s">
        <v>434</v>
      </c>
    </row>
    <row r="530" spans="16:26" hidden="1" x14ac:dyDescent="0.2">
      <c r="P530">
        <v>569</v>
      </c>
      <c r="Q530" t="s">
        <v>62</v>
      </c>
      <c r="R530">
        <v>12</v>
      </c>
      <c r="Z530" s="27" t="s">
        <v>444</v>
      </c>
    </row>
    <row r="531" spans="16:26" hidden="1" x14ac:dyDescent="0.2">
      <c r="P531">
        <v>570</v>
      </c>
      <c r="Q531" t="s">
        <v>1634</v>
      </c>
      <c r="R531">
        <v>12</v>
      </c>
      <c r="Z531" s="27" t="s">
        <v>446</v>
      </c>
    </row>
    <row r="532" spans="16:26" hidden="1" x14ac:dyDescent="0.2">
      <c r="P532">
        <v>571</v>
      </c>
      <c r="Q532" t="s">
        <v>287</v>
      </c>
      <c r="R532">
        <v>13</v>
      </c>
      <c r="Z532" s="27" t="s">
        <v>448</v>
      </c>
    </row>
    <row r="533" spans="16:26" hidden="1" x14ac:dyDescent="0.2">
      <c r="P533">
        <v>572</v>
      </c>
      <c r="Q533" t="s">
        <v>1627</v>
      </c>
      <c r="R533">
        <v>13</v>
      </c>
      <c r="Z533" s="27" t="s">
        <v>450</v>
      </c>
    </row>
    <row r="534" spans="16:26" hidden="1" x14ac:dyDescent="0.2">
      <c r="P534">
        <v>573</v>
      </c>
      <c r="Q534" t="s">
        <v>545</v>
      </c>
      <c r="R534">
        <v>13</v>
      </c>
      <c r="Z534" s="27" t="s">
        <v>452</v>
      </c>
    </row>
    <row r="535" spans="16:26" hidden="1" x14ac:dyDescent="0.2">
      <c r="P535">
        <v>574</v>
      </c>
      <c r="Q535" t="s">
        <v>244</v>
      </c>
      <c r="R535">
        <v>13</v>
      </c>
      <c r="Z535" s="27" t="s">
        <v>1591</v>
      </c>
    </row>
    <row r="536" spans="16:26" hidden="1" x14ac:dyDescent="0.2">
      <c r="P536">
        <v>575</v>
      </c>
      <c r="Q536" t="s">
        <v>2440</v>
      </c>
      <c r="R536">
        <v>13</v>
      </c>
      <c r="Z536" s="27" t="s">
        <v>1593</v>
      </c>
    </row>
    <row r="537" spans="16:26" hidden="1" x14ac:dyDescent="0.2">
      <c r="P537">
        <v>576</v>
      </c>
      <c r="Q537" t="s">
        <v>2304</v>
      </c>
      <c r="R537">
        <v>14</v>
      </c>
      <c r="Z537" s="27" t="s">
        <v>1595</v>
      </c>
    </row>
    <row r="538" spans="16:26" hidden="1" x14ac:dyDescent="0.2">
      <c r="P538">
        <v>578</v>
      </c>
      <c r="Q538" t="s">
        <v>1983</v>
      </c>
      <c r="R538">
        <v>14</v>
      </c>
      <c r="Z538" s="27" t="s">
        <v>1597</v>
      </c>
    </row>
    <row r="539" spans="16:26" hidden="1" x14ac:dyDescent="0.2">
      <c r="P539">
        <v>579</v>
      </c>
      <c r="Q539" t="s">
        <v>1583</v>
      </c>
      <c r="R539">
        <v>14</v>
      </c>
      <c r="Z539" s="27" t="s">
        <v>1599</v>
      </c>
    </row>
    <row r="540" spans="16:26" hidden="1" x14ac:dyDescent="0.2">
      <c r="P540">
        <v>581</v>
      </c>
      <c r="Q540" t="s">
        <v>1295</v>
      </c>
      <c r="R540">
        <v>15</v>
      </c>
      <c r="Z540" s="27" t="s">
        <v>1601</v>
      </c>
    </row>
    <row r="541" spans="16:26" hidden="1" x14ac:dyDescent="0.2">
      <c r="P541">
        <v>582</v>
      </c>
      <c r="Q541" t="s">
        <v>2720</v>
      </c>
      <c r="R541">
        <v>15</v>
      </c>
      <c r="Z541" s="27" t="s">
        <v>438</v>
      </c>
    </row>
    <row r="542" spans="16:26" hidden="1" x14ac:dyDescent="0.2">
      <c r="P542">
        <v>583</v>
      </c>
      <c r="Q542" t="s">
        <v>244</v>
      </c>
      <c r="R542">
        <v>16</v>
      </c>
      <c r="Z542" s="27" t="s">
        <v>973</v>
      </c>
    </row>
    <row r="543" spans="16:26" hidden="1" x14ac:dyDescent="0.2">
      <c r="P543">
        <v>584</v>
      </c>
      <c r="Q543" t="s">
        <v>1293</v>
      </c>
      <c r="R543">
        <v>16</v>
      </c>
      <c r="Z543" s="27" t="s">
        <v>975</v>
      </c>
    </row>
    <row r="544" spans="16:26" hidden="1" x14ac:dyDescent="0.2">
      <c r="P544">
        <v>585</v>
      </c>
      <c r="Q544" t="s">
        <v>2444</v>
      </c>
      <c r="R544">
        <v>17</v>
      </c>
      <c r="Z544" s="27" t="s">
        <v>977</v>
      </c>
    </row>
    <row r="545" spans="16:26" hidden="1" x14ac:dyDescent="0.2">
      <c r="P545">
        <v>586</v>
      </c>
      <c r="Q545" t="s">
        <v>1484</v>
      </c>
      <c r="R545">
        <v>17</v>
      </c>
      <c r="Z545" s="27" t="s">
        <v>979</v>
      </c>
    </row>
    <row r="546" spans="16:26" hidden="1" x14ac:dyDescent="0.2">
      <c r="P546">
        <v>587</v>
      </c>
      <c r="Q546" t="s">
        <v>1944</v>
      </c>
      <c r="R546">
        <v>17</v>
      </c>
      <c r="Z546" s="27" t="s">
        <v>981</v>
      </c>
    </row>
    <row r="547" spans="16:26" hidden="1" x14ac:dyDescent="0.2">
      <c r="P547">
        <v>588</v>
      </c>
      <c r="Q547" t="s">
        <v>288</v>
      </c>
      <c r="R547">
        <v>17</v>
      </c>
      <c r="Z547" s="27" t="s">
        <v>983</v>
      </c>
    </row>
    <row r="548" spans="16:26" hidden="1" x14ac:dyDescent="0.2">
      <c r="P548">
        <v>589</v>
      </c>
      <c r="Q548" t="s">
        <v>2268</v>
      </c>
      <c r="R548">
        <v>17</v>
      </c>
      <c r="Z548" s="27" t="s">
        <v>985</v>
      </c>
    </row>
    <row r="549" spans="16:26" hidden="1" x14ac:dyDescent="0.2">
      <c r="P549">
        <v>590</v>
      </c>
      <c r="Q549" t="s">
        <v>238</v>
      </c>
      <c r="R549">
        <v>17</v>
      </c>
      <c r="Z549" s="27" t="s">
        <v>261</v>
      </c>
    </row>
    <row r="550" spans="16:26" hidden="1" x14ac:dyDescent="0.2">
      <c r="P550">
        <v>591</v>
      </c>
      <c r="Q550" t="s">
        <v>2732</v>
      </c>
      <c r="R550">
        <v>17</v>
      </c>
      <c r="Z550" s="27" t="s">
        <v>263</v>
      </c>
    </row>
    <row r="551" spans="16:26" hidden="1" x14ac:dyDescent="0.2">
      <c r="P551">
        <v>592</v>
      </c>
      <c r="Q551" t="s">
        <v>1993</v>
      </c>
      <c r="R551">
        <v>17</v>
      </c>
      <c r="Z551" s="27" t="s">
        <v>1351</v>
      </c>
    </row>
    <row r="552" spans="16:26" hidden="1" x14ac:dyDescent="0.2">
      <c r="P552">
        <v>593</v>
      </c>
      <c r="Q552" t="s">
        <v>271</v>
      </c>
      <c r="R552">
        <v>17</v>
      </c>
      <c r="Z552" s="27" t="s">
        <v>1353</v>
      </c>
    </row>
    <row r="553" spans="16:26" hidden="1" x14ac:dyDescent="0.2">
      <c r="P553">
        <v>595</v>
      </c>
      <c r="Q553" t="s">
        <v>525</v>
      </c>
      <c r="R553">
        <v>17</v>
      </c>
      <c r="Z553" s="27" t="s">
        <v>1355</v>
      </c>
    </row>
    <row r="554" spans="16:26" hidden="1" x14ac:dyDescent="0.2">
      <c r="P554">
        <v>596</v>
      </c>
      <c r="Q554" t="s">
        <v>2267</v>
      </c>
      <c r="R554">
        <v>18</v>
      </c>
      <c r="Z554" s="27" t="s">
        <v>1357</v>
      </c>
    </row>
    <row r="555" spans="16:26" hidden="1" x14ac:dyDescent="0.2">
      <c r="P555">
        <v>597</v>
      </c>
      <c r="Q555" t="s">
        <v>240</v>
      </c>
      <c r="R555">
        <v>18</v>
      </c>
      <c r="Z555" s="27" t="s">
        <v>1359</v>
      </c>
    </row>
    <row r="556" spans="16:26" hidden="1" x14ac:dyDescent="0.2">
      <c r="P556">
        <v>598</v>
      </c>
      <c r="Q556" t="s">
        <v>1721</v>
      </c>
      <c r="R556">
        <v>19</v>
      </c>
      <c r="Z556" s="27" t="s">
        <v>1361</v>
      </c>
    </row>
    <row r="557" spans="16:26" hidden="1" x14ac:dyDescent="0.2">
      <c r="P557">
        <v>599</v>
      </c>
      <c r="Q557" t="s">
        <v>1330</v>
      </c>
      <c r="R557">
        <v>19</v>
      </c>
      <c r="Z557" s="27" t="s">
        <v>1363</v>
      </c>
    </row>
    <row r="558" spans="16:26" hidden="1" x14ac:dyDescent="0.2">
      <c r="P558">
        <v>600</v>
      </c>
      <c r="Q558" t="s">
        <v>1971</v>
      </c>
      <c r="R558">
        <v>19</v>
      </c>
      <c r="Z558" s="27" t="s">
        <v>1365</v>
      </c>
    </row>
    <row r="559" spans="16:26" hidden="1" x14ac:dyDescent="0.2">
      <c r="P559">
        <v>601</v>
      </c>
      <c r="Q559" t="s">
        <v>266</v>
      </c>
      <c r="R559">
        <v>19</v>
      </c>
      <c r="Z559" s="27" t="s">
        <v>1735</v>
      </c>
    </row>
    <row r="560" spans="16:26" hidden="1" x14ac:dyDescent="0.2">
      <c r="P560">
        <v>602</v>
      </c>
      <c r="Q560" t="s">
        <v>239</v>
      </c>
      <c r="R560">
        <v>19</v>
      </c>
      <c r="Z560" s="27" t="s">
        <v>1737</v>
      </c>
    </row>
    <row r="561" spans="16:26" hidden="1" x14ac:dyDescent="0.2">
      <c r="P561">
        <v>603</v>
      </c>
      <c r="Q561" t="s">
        <v>1991</v>
      </c>
      <c r="R561">
        <v>20</v>
      </c>
      <c r="Z561" s="27" t="s">
        <v>776</v>
      </c>
    </row>
    <row r="562" spans="16:26" hidden="1" x14ac:dyDescent="0.2">
      <c r="P562">
        <v>604</v>
      </c>
      <c r="Q562" t="s">
        <v>151</v>
      </c>
      <c r="R562">
        <v>20</v>
      </c>
      <c r="Z562" s="27" t="s">
        <v>778</v>
      </c>
    </row>
    <row r="563" spans="16:26" hidden="1" x14ac:dyDescent="0.2">
      <c r="P563">
        <v>605</v>
      </c>
      <c r="Q563" t="s">
        <v>63</v>
      </c>
      <c r="R563">
        <v>20</v>
      </c>
      <c r="Z563" s="27" t="s">
        <v>780</v>
      </c>
    </row>
    <row r="564" spans="16:26" hidden="1" x14ac:dyDescent="0.2">
      <c r="P564">
        <v>606</v>
      </c>
      <c r="Q564" t="s">
        <v>1966</v>
      </c>
      <c r="R564">
        <v>20</v>
      </c>
      <c r="Z564" s="27" t="s">
        <v>782</v>
      </c>
    </row>
    <row r="565" spans="16:26" hidden="1" x14ac:dyDescent="0.2">
      <c r="P565">
        <v>607</v>
      </c>
      <c r="Q565" t="s">
        <v>1996</v>
      </c>
      <c r="R565">
        <v>20</v>
      </c>
      <c r="Z565" s="27" t="s">
        <v>784</v>
      </c>
    </row>
    <row r="566" spans="16:26" hidden="1" x14ac:dyDescent="0.2">
      <c r="P566">
        <v>608</v>
      </c>
      <c r="Q566" t="s">
        <v>1690</v>
      </c>
      <c r="R566">
        <v>20</v>
      </c>
      <c r="Z566" s="27" t="s">
        <v>786</v>
      </c>
    </row>
    <row r="567" spans="16:26" hidden="1" x14ac:dyDescent="0.2">
      <c r="P567">
        <v>609</v>
      </c>
      <c r="Q567" t="s">
        <v>1318</v>
      </c>
      <c r="R567">
        <v>14</v>
      </c>
      <c r="Z567" s="27" t="s">
        <v>788</v>
      </c>
    </row>
    <row r="568" spans="16:26" hidden="1" x14ac:dyDescent="0.2">
      <c r="P568">
        <v>610</v>
      </c>
      <c r="Q568" t="s">
        <v>2308</v>
      </c>
      <c r="R568">
        <v>16</v>
      </c>
      <c r="Z568" s="27" t="s">
        <v>790</v>
      </c>
    </row>
    <row r="569" spans="16:26" hidden="1" x14ac:dyDescent="0.2">
      <c r="P569">
        <v>612</v>
      </c>
      <c r="Q569" t="s">
        <v>1381</v>
      </c>
      <c r="R569">
        <v>16</v>
      </c>
      <c r="Z569" s="27" t="s">
        <v>792</v>
      </c>
    </row>
    <row r="570" spans="16:26" hidden="1" x14ac:dyDescent="0.2">
      <c r="P570">
        <v>614</v>
      </c>
      <c r="Q570" t="s">
        <v>1702</v>
      </c>
      <c r="R570">
        <v>14</v>
      </c>
      <c r="Z570" s="27" t="s">
        <v>794</v>
      </c>
    </row>
    <row r="571" spans="16:26" hidden="1" x14ac:dyDescent="0.2">
      <c r="P571">
        <v>616</v>
      </c>
      <c r="Q571" t="s">
        <v>1331</v>
      </c>
      <c r="R571">
        <v>6</v>
      </c>
      <c r="Z571" s="27" t="s">
        <v>1</v>
      </c>
    </row>
    <row r="572" spans="16:26" hidden="1" x14ac:dyDescent="0.2">
      <c r="P572">
        <v>617</v>
      </c>
      <c r="Q572" t="s">
        <v>1713</v>
      </c>
      <c r="R572">
        <v>15</v>
      </c>
      <c r="Z572" s="27" t="s">
        <v>3</v>
      </c>
    </row>
    <row r="573" spans="16:26" hidden="1" x14ac:dyDescent="0.2">
      <c r="P573">
        <v>618</v>
      </c>
      <c r="Q573" t="s">
        <v>56</v>
      </c>
      <c r="R573">
        <v>6</v>
      </c>
      <c r="Z573" s="27" t="s">
        <v>5</v>
      </c>
    </row>
    <row r="574" spans="16:26" hidden="1" x14ac:dyDescent="0.2">
      <c r="P574">
        <v>619</v>
      </c>
      <c r="Q574" t="s">
        <v>272</v>
      </c>
      <c r="R574">
        <v>18</v>
      </c>
      <c r="Z574" s="27" t="s">
        <v>7</v>
      </c>
    </row>
    <row r="575" spans="16:26" hidden="1" x14ac:dyDescent="0.2">
      <c r="P575">
        <v>620</v>
      </c>
      <c r="Q575" t="s">
        <v>235</v>
      </c>
      <c r="R575">
        <v>20</v>
      </c>
      <c r="Z575" s="27" t="s">
        <v>9</v>
      </c>
    </row>
    <row r="576" spans="16:26" hidden="1" x14ac:dyDescent="0.2">
      <c r="P576">
        <v>621</v>
      </c>
      <c r="Q576" t="s">
        <v>2724</v>
      </c>
      <c r="R576">
        <v>15</v>
      </c>
      <c r="Z576" s="27" t="s">
        <v>2516</v>
      </c>
    </row>
    <row r="577" spans="16:26" hidden="1" x14ac:dyDescent="0.2">
      <c r="P577">
        <v>622</v>
      </c>
      <c r="Q577" t="s">
        <v>1867</v>
      </c>
      <c r="R577">
        <v>13</v>
      </c>
      <c r="Z577" s="27" t="s">
        <v>2518</v>
      </c>
    </row>
    <row r="578" spans="16:26" hidden="1" x14ac:dyDescent="0.2">
      <c r="P578">
        <v>623</v>
      </c>
      <c r="Q578" t="s">
        <v>544</v>
      </c>
      <c r="R578">
        <v>4</v>
      </c>
      <c r="Z578" s="27" t="s">
        <v>2520</v>
      </c>
    </row>
    <row r="579" spans="16:26" hidden="1" x14ac:dyDescent="0.2">
      <c r="P579">
        <v>624</v>
      </c>
      <c r="Q579" t="s">
        <v>1947</v>
      </c>
      <c r="R579">
        <v>8</v>
      </c>
      <c r="Z579" s="27" t="s">
        <v>2522</v>
      </c>
    </row>
    <row r="580" spans="16:26" hidden="1" x14ac:dyDescent="0.2">
      <c r="P580">
        <v>625</v>
      </c>
      <c r="Q580" t="s">
        <v>1332</v>
      </c>
      <c r="R580">
        <v>13</v>
      </c>
      <c r="Z580" s="27" t="s">
        <v>2524</v>
      </c>
    </row>
    <row r="581" spans="16:26" hidden="1" x14ac:dyDescent="0.2">
      <c r="P581">
        <v>626</v>
      </c>
      <c r="Q581" t="s">
        <v>2458</v>
      </c>
      <c r="R581">
        <v>15</v>
      </c>
      <c r="Z581" s="27" t="s">
        <v>2526</v>
      </c>
    </row>
    <row r="582" spans="16:26" hidden="1" x14ac:dyDescent="0.2">
      <c r="P582">
        <v>628</v>
      </c>
      <c r="Q582" t="s">
        <v>1714</v>
      </c>
      <c r="R582">
        <v>16</v>
      </c>
      <c r="Z582" s="27" t="s">
        <v>2528</v>
      </c>
    </row>
    <row r="583" spans="16:26" hidden="1" x14ac:dyDescent="0.2">
      <c r="P583">
        <v>629</v>
      </c>
      <c r="Q583" t="s">
        <v>281</v>
      </c>
      <c r="R583">
        <v>18</v>
      </c>
      <c r="Z583" s="27" t="s">
        <v>2530</v>
      </c>
    </row>
    <row r="584" spans="16:26" hidden="1" x14ac:dyDescent="0.2">
      <c r="P584">
        <v>631</v>
      </c>
      <c r="Q584" t="s">
        <v>1379</v>
      </c>
      <c r="R584">
        <v>18</v>
      </c>
      <c r="Z584" s="27" t="s">
        <v>2532</v>
      </c>
    </row>
    <row r="585" spans="16:26" hidden="1" x14ac:dyDescent="0.2">
      <c r="Z585" s="27" t="s">
        <v>67</v>
      </c>
    </row>
    <row r="586" spans="16:26" hidden="1" x14ac:dyDescent="0.2">
      <c r="Z586" s="27" t="s">
        <v>845</v>
      </c>
    </row>
    <row r="587" spans="16:26" hidden="1" x14ac:dyDescent="0.2">
      <c r="Z587" s="27" t="s">
        <v>2381</v>
      </c>
    </row>
    <row r="588" spans="16:26" hidden="1" x14ac:dyDescent="0.2">
      <c r="Z588" s="27" t="s">
        <v>2383</v>
      </c>
    </row>
    <row r="589" spans="16:26" hidden="1" x14ac:dyDescent="0.2">
      <c r="Z589" s="27" t="s">
        <v>2385</v>
      </c>
    </row>
    <row r="590" spans="16:26" hidden="1" x14ac:dyDescent="0.2">
      <c r="Z590" s="27" t="s">
        <v>2387</v>
      </c>
    </row>
    <row r="591" spans="16:26" hidden="1" x14ac:dyDescent="0.2">
      <c r="Z591" s="27" t="s">
        <v>2389</v>
      </c>
    </row>
    <row r="592" spans="16:26" hidden="1" x14ac:dyDescent="0.2">
      <c r="Z592" s="27" t="s">
        <v>2391</v>
      </c>
    </row>
    <row r="593" spans="26:26" hidden="1" x14ac:dyDescent="0.2">
      <c r="Z593" s="27" t="s">
        <v>2393</v>
      </c>
    </row>
    <row r="594" spans="26:26" hidden="1" x14ac:dyDescent="0.2">
      <c r="Z594" s="27" t="s">
        <v>2395</v>
      </c>
    </row>
    <row r="595" spans="26:26" hidden="1" x14ac:dyDescent="0.2">
      <c r="Z595" s="27" t="s">
        <v>2397</v>
      </c>
    </row>
    <row r="596" spans="26:26" hidden="1" x14ac:dyDescent="0.2">
      <c r="Z596" s="27" t="s">
        <v>2399</v>
      </c>
    </row>
    <row r="597" spans="26:26" hidden="1" x14ac:dyDescent="0.2">
      <c r="Z597" s="27" t="s">
        <v>2401</v>
      </c>
    </row>
    <row r="598" spans="26:26" hidden="1" x14ac:dyDescent="0.2">
      <c r="Z598" s="27" t="s">
        <v>2403</v>
      </c>
    </row>
    <row r="599" spans="26:26" hidden="1" x14ac:dyDescent="0.2">
      <c r="Z599" s="27" t="s">
        <v>2405</v>
      </c>
    </row>
    <row r="600" spans="26:26" hidden="1" x14ac:dyDescent="0.2">
      <c r="Z600" s="27" t="s">
        <v>2407</v>
      </c>
    </row>
    <row r="601" spans="26:26" hidden="1" x14ac:dyDescent="0.2">
      <c r="Z601" s="27" t="s">
        <v>2409</v>
      </c>
    </row>
    <row r="602" spans="26:26" hidden="1" x14ac:dyDescent="0.2">
      <c r="Z602" s="27" t="s">
        <v>313</v>
      </c>
    </row>
    <row r="603" spans="26:26" hidden="1" x14ac:dyDescent="0.2">
      <c r="Z603" s="27" t="s">
        <v>315</v>
      </c>
    </row>
    <row r="604" spans="26:26" hidden="1" x14ac:dyDescent="0.2">
      <c r="Z604" s="27" t="s">
        <v>317</v>
      </c>
    </row>
    <row r="605" spans="26:26" hidden="1" x14ac:dyDescent="0.2">
      <c r="Z605" s="27" t="s">
        <v>319</v>
      </c>
    </row>
    <row r="606" spans="26:26" hidden="1" x14ac:dyDescent="0.2">
      <c r="Z606" s="27" t="s">
        <v>321</v>
      </c>
    </row>
    <row r="607" spans="26:26" hidden="1" x14ac:dyDescent="0.2">
      <c r="Z607" s="27" t="s">
        <v>323</v>
      </c>
    </row>
    <row r="608" spans="26:26" hidden="1" x14ac:dyDescent="0.2">
      <c r="Z608" s="27" t="s">
        <v>325</v>
      </c>
    </row>
    <row r="609" spans="26:26" hidden="1" x14ac:dyDescent="0.2">
      <c r="Z609" s="27" t="s">
        <v>327</v>
      </c>
    </row>
    <row r="610" spans="26:26" hidden="1" x14ac:dyDescent="0.2">
      <c r="Z610" s="27" t="s">
        <v>329</v>
      </c>
    </row>
    <row r="611" spans="26:26" hidden="1" x14ac:dyDescent="0.2">
      <c r="Z611" s="27" t="s">
        <v>331</v>
      </c>
    </row>
    <row r="612" spans="26:26" hidden="1" x14ac:dyDescent="0.2">
      <c r="Z612" s="27" t="s">
        <v>333</v>
      </c>
    </row>
    <row r="613" spans="26:26" hidden="1" x14ac:dyDescent="0.2">
      <c r="Z613" s="27" t="s">
        <v>335</v>
      </c>
    </row>
    <row r="614" spans="26:26" hidden="1" x14ac:dyDescent="0.2">
      <c r="Z614" s="27" t="s">
        <v>337</v>
      </c>
    </row>
    <row r="615" spans="26:26" hidden="1" x14ac:dyDescent="0.2">
      <c r="Z615" s="27" t="s">
        <v>339</v>
      </c>
    </row>
    <row r="616" spans="26:26" hidden="1" x14ac:dyDescent="0.2">
      <c r="Z616" s="27" t="s">
        <v>341</v>
      </c>
    </row>
    <row r="617" spans="26:26" hidden="1" x14ac:dyDescent="0.2">
      <c r="Z617" s="27" t="s">
        <v>343</v>
      </c>
    </row>
    <row r="618" spans="26:26" hidden="1" x14ac:dyDescent="0.2">
      <c r="Z618" s="27" t="s">
        <v>345</v>
      </c>
    </row>
    <row r="619" spans="26:26" hidden="1" x14ac:dyDescent="0.2">
      <c r="Z619" s="27" t="s">
        <v>2615</v>
      </c>
    </row>
    <row r="620" spans="26:26" hidden="1" x14ac:dyDescent="0.2">
      <c r="Z620" s="27" t="s">
        <v>2617</v>
      </c>
    </row>
    <row r="621" spans="26:26" hidden="1" x14ac:dyDescent="0.2">
      <c r="Z621" s="27" t="s">
        <v>907</v>
      </c>
    </row>
    <row r="622" spans="26:26" hidden="1" x14ac:dyDescent="0.2">
      <c r="Z622" s="27" t="s">
        <v>1246</v>
      </c>
    </row>
    <row r="623" spans="26:26" hidden="1" x14ac:dyDescent="0.2">
      <c r="Z623" s="27" t="s">
        <v>1248</v>
      </c>
    </row>
    <row r="624" spans="26:26" hidden="1" x14ac:dyDescent="0.2">
      <c r="Z624" s="27" t="s">
        <v>1250</v>
      </c>
    </row>
    <row r="625" spans="26:26" hidden="1" x14ac:dyDescent="0.2">
      <c r="Z625" s="27" t="s">
        <v>1560</v>
      </c>
    </row>
    <row r="626" spans="26:26" hidden="1" x14ac:dyDescent="0.2">
      <c r="Z626" s="27" t="s">
        <v>1562</v>
      </c>
    </row>
    <row r="627" spans="26:26" hidden="1" x14ac:dyDescent="0.2">
      <c r="Z627" s="27" t="s">
        <v>1564</v>
      </c>
    </row>
    <row r="628" spans="26:26" hidden="1" x14ac:dyDescent="0.2">
      <c r="Z628" s="27" t="s">
        <v>1566</v>
      </c>
    </row>
    <row r="629" spans="26:26" hidden="1" x14ac:dyDescent="0.2">
      <c r="Z629" s="27" t="s">
        <v>1568</v>
      </c>
    </row>
    <row r="630" spans="26:26" hidden="1" x14ac:dyDescent="0.2">
      <c r="Z630" s="27" t="s">
        <v>1570</v>
      </c>
    </row>
    <row r="631" spans="26:26" hidden="1" x14ac:dyDescent="0.2">
      <c r="Z631" s="27" t="s">
        <v>26</v>
      </c>
    </row>
    <row r="632" spans="26:26" hidden="1" x14ac:dyDescent="0.2">
      <c r="Z632" s="27" t="s">
        <v>28</v>
      </c>
    </row>
    <row r="633" spans="26:26" hidden="1" x14ac:dyDescent="0.2">
      <c r="Z633" s="27" t="s">
        <v>30</v>
      </c>
    </row>
    <row r="634" spans="26:26" hidden="1" x14ac:dyDescent="0.2">
      <c r="Z634" s="27" t="s">
        <v>32</v>
      </c>
    </row>
    <row r="635" spans="26:26" hidden="1" x14ac:dyDescent="0.2">
      <c r="Z635" s="27" t="s">
        <v>34</v>
      </c>
    </row>
    <row r="636" spans="26:26" hidden="1" x14ac:dyDescent="0.2">
      <c r="Z636" s="27" t="s">
        <v>39</v>
      </c>
    </row>
    <row r="637" spans="26:26" hidden="1" x14ac:dyDescent="0.2">
      <c r="Z637" s="27" t="s">
        <v>41</v>
      </c>
    </row>
    <row r="638" spans="26:26" hidden="1" x14ac:dyDescent="0.2">
      <c r="Z638" s="27" t="s">
        <v>43</v>
      </c>
    </row>
    <row r="639" spans="26:26" hidden="1" x14ac:dyDescent="0.2">
      <c r="Z639" s="27" t="s">
        <v>45</v>
      </c>
    </row>
    <row r="640" spans="26:26" hidden="1" x14ac:dyDescent="0.2">
      <c r="Z640" s="27" t="s">
        <v>47</v>
      </c>
    </row>
    <row r="641" spans="26:26" hidden="1" x14ac:dyDescent="0.2">
      <c r="Z641" s="27" t="s">
        <v>49</v>
      </c>
    </row>
    <row r="642" spans="26:26" hidden="1" x14ac:dyDescent="0.2">
      <c r="Z642" s="27" t="s">
        <v>51</v>
      </c>
    </row>
    <row r="643" spans="26:26" hidden="1" x14ac:dyDescent="0.2">
      <c r="Z643" s="27" t="s">
        <v>53</v>
      </c>
    </row>
  </sheetData>
  <sheetProtection password="C79A" sheet="1" objects="1"/>
  <mergeCells count="94">
    <mergeCell ref="A27:B27"/>
    <mergeCell ref="C25:L25"/>
    <mergeCell ref="C33:J33"/>
    <mergeCell ref="A29:B29"/>
    <mergeCell ref="H14:J14"/>
    <mergeCell ref="I55:N56"/>
    <mergeCell ref="I39:N40"/>
    <mergeCell ref="I53:N54"/>
    <mergeCell ref="I51:N52"/>
    <mergeCell ref="I47:N48"/>
    <mergeCell ref="A13:N13"/>
    <mergeCell ref="A35:B35"/>
    <mergeCell ref="I43:N44"/>
    <mergeCell ref="I45:N46"/>
    <mergeCell ref="A25:B25"/>
    <mergeCell ref="A1:B2"/>
    <mergeCell ref="E5:F5"/>
    <mergeCell ref="F9:N9"/>
    <mergeCell ref="K12:N12"/>
    <mergeCell ref="H5:I5"/>
    <mergeCell ref="J5:N7"/>
    <mergeCell ref="A3:N3"/>
    <mergeCell ref="A5:D5"/>
    <mergeCell ref="C64:D64"/>
    <mergeCell ref="C63:D63"/>
    <mergeCell ref="F62:G62"/>
    <mergeCell ref="H37:J37"/>
    <mergeCell ref="I41:N42"/>
    <mergeCell ref="G60:H60"/>
    <mergeCell ref="M59:N59"/>
    <mergeCell ref="M60:N60"/>
    <mergeCell ref="D49:G50"/>
    <mergeCell ref="C56:D56"/>
    <mergeCell ref="H74:L74"/>
    <mergeCell ref="A65:B65"/>
    <mergeCell ref="A67:B67"/>
    <mergeCell ref="C65:J65"/>
    <mergeCell ref="C67:E67"/>
    <mergeCell ref="C72:H72"/>
    <mergeCell ref="A69:B69"/>
    <mergeCell ref="A71:B71"/>
    <mergeCell ref="C71:H71"/>
    <mergeCell ref="H67:J67"/>
    <mergeCell ref="A63:B63"/>
    <mergeCell ref="I49:N50"/>
    <mergeCell ref="A59:F59"/>
    <mergeCell ref="C54:D54"/>
    <mergeCell ref="C62:D62"/>
    <mergeCell ref="J59:K59"/>
    <mergeCell ref="G61:H61"/>
    <mergeCell ref="E56:F56"/>
    <mergeCell ref="A61:F61"/>
    <mergeCell ref="J61:K61"/>
    <mergeCell ref="M61:N61"/>
    <mergeCell ref="G59:H59"/>
    <mergeCell ref="F15:H15"/>
    <mergeCell ref="A17:B17"/>
    <mergeCell ref="A16:C16"/>
    <mergeCell ref="A23:B24"/>
    <mergeCell ref="A41:B41"/>
    <mergeCell ref="D47:G48"/>
    <mergeCell ref="D45:G46"/>
    <mergeCell ref="D35:G35"/>
    <mergeCell ref="A15:C15"/>
    <mergeCell ref="E17:I21"/>
    <mergeCell ref="J18:N20"/>
    <mergeCell ref="A19:B19"/>
    <mergeCell ref="A21:B21"/>
    <mergeCell ref="C19:D19"/>
    <mergeCell ref="A31:B31"/>
    <mergeCell ref="C69:J69"/>
    <mergeCell ref="F64:G64"/>
    <mergeCell ref="A47:B47"/>
    <mergeCell ref="A49:B49"/>
    <mergeCell ref="A53:B54"/>
    <mergeCell ref="A55:B56"/>
    <mergeCell ref="E54:F54"/>
    <mergeCell ref="A57:B57"/>
    <mergeCell ref="A51:B51"/>
    <mergeCell ref="F63:N63"/>
    <mergeCell ref="A45:B45"/>
    <mergeCell ref="A43:B43"/>
    <mergeCell ref="C31:J31"/>
    <mergeCell ref="A39:B39"/>
    <mergeCell ref="A33:B33"/>
    <mergeCell ref="A37:B37"/>
    <mergeCell ref="D39:G41"/>
    <mergeCell ref="D37:G37"/>
    <mergeCell ref="F27:L27"/>
    <mergeCell ref="C29:L29"/>
    <mergeCell ref="C21:D21"/>
    <mergeCell ref="C23:D23"/>
    <mergeCell ref="C27:D27"/>
    <mergeCell ref="F22:N24"/>
  </mergeCells>
  <phoneticPr fontId="2" type="noConversion"/>
  <conditionalFormatting sqref="H39 H41 H43 H45 H47 H53 H49 H51 H55">
    <cfRule type="cellIs" dxfId="3" priority="1" stopIfTrue="1" operator="equal">
      <formula>"DA"</formula>
    </cfRule>
  </conditionalFormatting>
  <conditionalFormatting sqref="H5:I5">
    <cfRule type="cellIs" dxfId="2" priority="2" stopIfTrue="1" operator="lessThan">
      <formula>$E$5</formula>
    </cfRule>
  </conditionalFormatting>
  <dataValidations count="18">
    <dataValidation type="list" allowBlank="1" showInputMessage="1" showErrorMessage="1" sqref="G14">
      <formula1>$M$1:$M$2</formula1>
    </dataValidation>
    <dataValidation type="textLength" allowBlank="1" showInputMessage="1" showErrorMessage="1" errorTitle="Neispravan matični broj" error="Matični broj unosi se na osam znamenaka s vodećim nulama. Matični broj mora biti brojevna vrijednost." sqref="J61:K61 J59:K59 C63:D63 G59:H59 C19:D19 M59:N59 G61:H61 M61:N61">
      <formula1>8</formula1>
      <formula2>8</formula2>
    </dataValidation>
    <dataValidation type="list" allowBlank="1" showInputMessage="1" showErrorMessage="1" sqref="C41 C43">
      <formula1>"DA,NE"</formula1>
    </dataValidation>
    <dataValidation type="whole" allowBlank="1" showInputMessage="1" showErrorMessage="1" errorTitle="Nispravan postotak" error="Postotak udjela može biti cijeli broj u rasponu 1 do 100" sqref="E51 C51">
      <formula1>0</formula1>
      <formula2>100</formula2>
    </dataValidation>
    <dataValidation type="whole" allowBlank="1" showInputMessage="1" showErrorMessage="1" errorTitle="Neispravan poštanski broj" error="Poštanski broj unosi se kao brojevna vrijednost u granicama primjenjivim u Hrvatskoj (10000 do 54000)" sqref="C27:D27">
      <formula1>10000</formula1>
      <formula2>54000</formula2>
    </dataValidation>
    <dataValidation type="list" allowBlank="1" showInputMessage="1" showErrorMessage="1" sqref="C17">
      <formula1>$P$17:$P$25</formula1>
    </dataValidation>
    <dataValidation type="textLength" allowBlank="1" showInputMessage="1" showErrorMessage="1" errorTitle="Neispravan MBS" error="MBS se unosi na devet znamenaka s vodećim nulama. Matični broj mora biti brojevna vrijednost." sqref="C21:D21">
      <formula1>9</formula1>
      <formula2>9</formula2>
    </dataValidation>
    <dataValidation type="list" allowBlank="1" showInputMessage="1" showErrorMessage="1" sqref="C35">
      <formula1>$P$29:$P$584</formula1>
    </dataValidation>
    <dataValidation type="textLength" allowBlank="1" showInputMessage="1" showErrorMessage="1" errorTitle="Neispravan matični broj" error="Osobni identifikacijski broj unosi se na 11 znamenaka. Ispravite unos." sqref="C23:D23">
      <formula1>11</formula1>
      <formula2>11</formula2>
    </dataValidation>
    <dataValidation type="list" allowBlank="1" showInputMessage="1" showErrorMessage="1" sqref="C39">
      <formula1>$Z$29:$Z$643</formula1>
    </dataValidation>
    <dataValidation type="list" allowBlank="1" showInputMessage="1" showErrorMessage="1" sqref="C45">
      <formula1>$T$52:$T$54</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H5:I5">
      <formula1>39448</formula1>
    </dataValidation>
    <dataValidation type="list" allowBlank="1" showInputMessage="1" showErrorMessage="1" sqref="E9">
      <formula1>$AB$29:$AB$44</formula1>
    </dataValidation>
    <dataValidation type="list" allowBlank="1" showInputMessage="1" showErrorMessage="1" sqref="H43 H55 H53 H51 H49">
      <formula1>"DA, NE"</formula1>
    </dataValidation>
    <dataValidation type="list" allowBlank="1" showInputMessage="1" showErrorMessage="1" sqref="C47">
      <formula1>"1,2,3"</formula1>
    </dataValidation>
    <dataValidation type="whole" allowBlank="1" showInputMessage="1" showErrorMessage="1" errorTitle="Broj mjeseci poslovanja" error="Broj mjeseci poslovanja za jedan izvještaj može biti od 0 do 12." sqref="C57 E57">
      <formula1>0</formula1>
      <formula2>12</formula2>
    </dataValidation>
    <dataValidation type="list" allowBlank="1" showInputMessage="1" showErrorMessage="1" sqref="C49">
      <formula1>$AF$29:$AF$36</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5:F5">
      <formula1>39114</formula1>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9055118110236227" right="0.59055118110236227" top="0.39370078740157483" bottom="0.78740157480314965" header="0.39370078740157483" footer="0.59055118110236227"/>
  <pageSetup paperSize="9" scale="8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R119"/>
  <sheetViews>
    <sheetView showGridLines="0" showRowColHeaders="0" workbookViewId="0">
      <pane ySplit="8" topLeftCell="A9" activePane="bottomLeft" state="frozen"/>
      <selection activeCell="J109" sqref="J109"/>
      <selection pane="bottomLeft" activeCell="A9" sqref="A9:L9"/>
    </sheetView>
  </sheetViews>
  <sheetFormatPr defaultColWidth="0" defaultRowHeight="12" zeroHeight="1" x14ac:dyDescent="0.2"/>
  <cols>
    <col min="1" max="3" width="7.7109375" style="1" customWidth="1"/>
    <col min="4" max="4" width="9.7109375" style="1" customWidth="1"/>
    <col min="5" max="8" width="7.7109375" style="1" customWidth="1"/>
    <col min="9" max="9" width="5.7109375" style="2" customWidth="1"/>
    <col min="10" max="10" width="7.7109375" style="2" customWidth="1"/>
    <col min="11" max="12" width="14.7109375" style="3" customWidth="1"/>
    <col min="13" max="13" width="0.85546875" style="3" customWidth="1"/>
    <col min="14" max="14" width="9.140625" style="3" hidden="1" customWidth="1"/>
    <col min="15" max="15" width="8.7109375" style="3" hidden="1" customWidth="1"/>
    <col min="16" max="16" width="9.5703125" style="3" hidden="1" customWidth="1"/>
    <col min="17" max="16384" width="9.140625" style="3" hidden="1"/>
  </cols>
  <sheetData>
    <row r="1" spans="1:18" ht="20.100000000000001" customHeight="1" x14ac:dyDescent="0.2">
      <c r="A1" s="312" t="s">
        <v>559</v>
      </c>
      <c r="B1" s="313"/>
      <c r="C1" s="126" t="s">
        <v>95</v>
      </c>
      <c r="D1" s="123" t="s">
        <v>560</v>
      </c>
      <c r="E1" s="123" t="s">
        <v>1410</v>
      </c>
      <c r="F1" s="144" t="s">
        <v>2177</v>
      </c>
      <c r="G1" s="123" t="s">
        <v>96</v>
      </c>
      <c r="H1" s="144" t="s">
        <v>97</v>
      </c>
      <c r="I1" s="123" t="s">
        <v>1411</v>
      </c>
      <c r="J1" s="124" t="s">
        <v>98</v>
      </c>
      <c r="K1" s="77"/>
      <c r="O1" s="3">
        <f>K69+K70+L69+L70+K113+L113+K114+L114+K117+L117+K118+L118</f>
        <v>20617253000</v>
      </c>
      <c r="P1" s="36">
        <f>K69+K70+K113+K114+K117+K118</f>
        <v>9632304000</v>
      </c>
      <c r="Q1" s="36">
        <f>IF(SUM(K10:K70)+SUM(K72:K114)&gt;0,1,0)-IF(SUM(K117:K118)&gt;0,1,0)</f>
        <v>0</v>
      </c>
      <c r="R1" s="36">
        <f>IF(SUM(L10:L70)+SUM(L72:L114)&gt;0,1,0)-IF(SUM(L117:L118)&gt;0,1,0)</f>
        <v>0</v>
      </c>
    </row>
    <row r="2" spans="1:18" ht="20.100000000000001" customHeight="1" thickBot="1" x14ac:dyDescent="0.25">
      <c r="A2" s="314"/>
      <c r="B2" s="315"/>
      <c r="C2" s="127" t="s">
        <v>1114</v>
      </c>
      <c r="D2" s="128" t="s">
        <v>1413</v>
      </c>
      <c r="E2" s="128" t="s">
        <v>1115</v>
      </c>
      <c r="F2" s="128" t="s">
        <v>1412</v>
      </c>
      <c r="G2" s="128" t="s">
        <v>99</v>
      </c>
      <c r="H2" s="128" t="s">
        <v>1116</v>
      </c>
      <c r="I2" s="129" t="s">
        <v>100</v>
      </c>
      <c r="J2" s="125"/>
      <c r="K2" s="29"/>
      <c r="L2"/>
      <c r="P2" s="36">
        <f>L69+L70+L113+L114+L117+L118</f>
        <v>10984949000</v>
      </c>
      <c r="Q2" s="3">
        <f>IF(SUM(K117:K118)+K86&lt;&gt;0,1,0)</f>
        <v>1</v>
      </c>
      <c r="R2" s="3">
        <f>IF(SUM(L117:L118)+L86&lt;&gt;0,1,0)</f>
        <v>1</v>
      </c>
    </row>
    <row r="3" spans="1:18" ht="20.100000000000001" customHeight="1" x14ac:dyDescent="0.2">
      <c r="A3" s="352" t="s">
        <v>2085</v>
      </c>
      <c r="B3" s="353"/>
      <c r="C3" s="353"/>
      <c r="D3" s="353"/>
      <c r="E3" s="353"/>
      <c r="F3" s="353"/>
      <c r="G3" s="353"/>
      <c r="H3" s="353"/>
      <c r="I3" s="353"/>
      <c r="J3" s="353"/>
      <c r="K3" s="354"/>
      <c r="L3" s="350" t="s">
        <v>2539</v>
      </c>
    </row>
    <row r="4" spans="1:18" ht="20.100000000000001" customHeight="1" thickBot="1" x14ac:dyDescent="0.25">
      <c r="A4" s="355" t="str">
        <f xml:space="preserve"> "stanje na dan " &amp; IF(Opci!H5&lt;&gt;"", TEXT(Opci!H5, "DD.MM.YYYY."),"__.__.____.")</f>
        <v>stanje na dan 31.03.2009.</v>
      </c>
      <c r="B4" s="356"/>
      <c r="C4" s="356"/>
      <c r="D4" s="356"/>
      <c r="E4" s="356"/>
      <c r="F4" s="356"/>
      <c r="G4" s="356"/>
      <c r="H4" s="356"/>
      <c r="I4" s="356"/>
      <c r="J4" s="356"/>
      <c r="K4" s="357"/>
      <c r="L4" s="351"/>
    </row>
    <row r="5" spans="1:18" ht="5.0999999999999996" customHeight="1" x14ac:dyDescent="0.2">
      <c r="A5" s="56"/>
      <c r="B5" s="81"/>
      <c r="C5" s="81"/>
      <c r="D5" s="81"/>
      <c r="E5" s="81"/>
      <c r="F5" s="81"/>
      <c r="G5" s="81"/>
      <c r="H5" s="81"/>
      <c r="I5" s="81"/>
      <c r="J5" s="81"/>
      <c r="K5" s="81"/>
      <c r="L5" s="82"/>
    </row>
    <row r="6" spans="1:18" ht="20.100000000000001" customHeight="1" x14ac:dyDescent="0.2">
      <c r="A6" s="336" t="str">
        <f>"Obveznik: "&amp;IF(Opci!C19&lt;&gt;"",Opci!C19,"________") &amp; "; " &amp; IF(Opci!C25&lt;&gt;"",Opci!C25,"_____________________________________________________________"&amp;"; "&amp;IF(Opci!F27&lt;&gt;"",Opci!F27,"_______________"))</f>
        <v>Obveznik: 03454088; PODRAVKA GRUPA</v>
      </c>
      <c r="B6" s="337"/>
      <c r="C6" s="337"/>
      <c r="D6" s="337"/>
      <c r="E6" s="337"/>
      <c r="F6" s="337"/>
      <c r="G6" s="337"/>
      <c r="H6" s="337"/>
      <c r="I6" s="337"/>
      <c r="J6" s="337"/>
      <c r="K6" s="337"/>
      <c r="L6" s="338"/>
    </row>
    <row r="7" spans="1:18" ht="24.75" customHeight="1" thickBot="1" x14ac:dyDescent="0.25">
      <c r="A7" s="339" t="s">
        <v>2618</v>
      </c>
      <c r="B7" s="340"/>
      <c r="C7" s="340"/>
      <c r="D7" s="340"/>
      <c r="E7" s="340"/>
      <c r="F7" s="340"/>
      <c r="G7" s="340"/>
      <c r="H7" s="341"/>
      <c r="I7" s="138" t="s">
        <v>103</v>
      </c>
      <c r="J7" s="138" t="s">
        <v>102</v>
      </c>
      <c r="K7" s="142" t="s">
        <v>1036</v>
      </c>
      <c r="L7" s="139" t="s">
        <v>1037</v>
      </c>
    </row>
    <row r="8" spans="1:18" ht="14.1" customHeight="1" x14ac:dyDescent="0.2">
      <c r="A8" s="342">
        <v>1</v>
      </c>
      <c r="B8" s="342"/>
      <c r="C8" s="342"/>
      <c r="D8" s="342"/>
      <c r="E8" s="342"/>
      <c r="F8" s="342"/>
      <c r="G8" s="342"/>
      <c r="H8" s="342"/>
      <c r="I8" s="141">
        <v>2</v>
      </c>
      <c r="J8" s="141">
        <v>3</v>
      </c>
      <c r="K8" s="140">
        <v>4</v>
      </c>
      <c r="L8" s="140">
        <v>5</v>
      </c>
    </row>
    <row r="9" spans="1:18" ht="14.1" customHeight="1" x14ac:dyDescent="0.2">
      <c r="A9" s="343" t="s">
        <v>2620</v>
      </c>
      <c r="B9" s="344"/>
      <c r="C9" s="344"/>
      <c r="D9" s="344"/>
      <c r="E9" s="344"/>
      <c r="F9" s="344"/>
      <c r="G9" s="344"/>
      <c r="H9" s="344"/>
      <c r="I9" s="344"/>
      <c r="J9" s="344"/>
      <c r="K9" s="344"/>
      <c r="L9" s="345"/>
    </row>
    <row r="10" spans="1:18" ht="14.1" customHeight="1" x14ac:dyDescent="0.2">
      <c r="A10" s="333" t="s">
        <v>2621</v>
      </c>
      <c r="B10" s="334"/>
      <c r="C10" s="334"/>
      <c r="D10" s="334"/>
      <c r="E10" s="334"/>
      <c r="F10" s="334"/>
      <c r="G10" s="334"/>
      <c r="H10" s="335"/>
      <c r="I10" s="6">
        <v>1</v>
      </c>
      <c r="J10" s="7"/>
      <c r="K10" s="64"/>
      <c r="L10" s="66"/>
    </row>
    <row r="11" spans="1:18" ht="14.1" customHeight="1" x14ac:dyDescent="0.2">
      <c r="A11" s="330" t="s">
        <v>1013</v>
      </c>
      <c r="B11" s="331"/>
      <c r="C11" s="331"/>
      <c r="D11" s="331"/>
      <c r="E11" s="331"/>
      <c r="F11" s="331"/>
      <c r="G11" s="331"/>
      <c r="H11" s="332"/>
      <c r="I11" s="4">
        <v>2</v>
      </c>
      <c r="J11" s="8"/>
      <c r="K11" s="59">
        <f>K12+K19+K29+K37+K41</f>
        <v>1986149000</v>
      </c>
      <c r="L11" s="67">
        <f>L12+L19+L29+L37+L41</f>
        <v>2233666000</v>
      </c>
    </row>
    <row r="12" spans="1:18" ht="14.1" customHeight="1" x14ac:dyDescent="0.2">
      <c r="A12" s="327" t="s">
        <v>1014</v>
      </c>
      <c r="B12" s="328"/>
      <c r="C12" s="328"/>
      <c r="D12" s="328"/>
      <c r="E12" s="328"/>
      <c r="F12" s="328"/>
      <c r="G12" s="328"/>
      <c r="H12" s="329"/>
      <c r="I12" s="4">
        <v>3</v>
      </c>
      <c r="J12" s="8"/>
      <c r="K12" s="59">
        <f>SUM(K13:K18)</f>
        <v>228437000</v>
      </c>
      <c r="L12" s="67">
        <f>SUM(L13:L18)</f>
        <v>390060000</v>
      </c>
    </row>
    <row r="13" spans="1:18" ht="14.1" customHeight="1" x14ac:dyDescent="0.2">
      <c r="A13" s="324" t="s">
        <v>1038</v>
      </c>
      <c r="B13" s="325"/>
      <c r="C13" s="325"/>
      <c r="D13" s="325"/>
      <c r="E13" s="325"/>
      <c r="F13" s="325"/>
      <c r="G13" s="325"/>
      <c r="H13" s="326"/>
      <c r="I13" s="4">
        <v>4</v>
      </c>
      <c r="J13" s="8"/>
      <c r="K13" s="58">
        <v>0</v>
      </c>
      <c r="L13" s="68">
        <v>0</v>
      </c>
    </row>
    <row r="14" spans="1:18" ht="14.1" customHeight="1" x14ac:dyDescent="0.2">
      <c r="A14" s="324" t="s">
        <v>2180</v>
      </c>
      <c r="B14" s="325"/>
      <c r="C14" s="325"/>
      <c r="D14" s="325"/>
      <c r="E14" s="325"/>
      <c r="F14" s="325"/>
      <c r="G14" s="325"/>
      <c r="H14" s="326"/>
      <c r="I14" s="4">
        <v>5</v>
      </c>
      <c r="J14" s="8"/>
      <c r="K14" s="235">
        <v>137283000</v>
      </c>
      <c r="L14" s="235">
        <v>295854000</v>
      </c>
    </row>
    <row r="15" spans="1:18" ht="14.1" customHeight="1" x14ac:dyDescent="0.2">
      <c r="A15" s="324" t="s">
        <v>1039</v>
      </c>
      <c r="B15" s="325"/>
      <c r="C15" s="325"/>
      <c r="D15" s="325"/>
      <c r="E15" s="325"/>
      <c r="F15" s="325"/>
      <c r="G15" s="325"/>
      <c r="H15" s="326"/>
      <c r="I15" s="4">
        <v>6</v>
      </c>
      <c r="J15" s="8"/>
      <c r="K15" s="236">
        <v>29137000</v>
      </c>
      <c r="L15" s="235">
        <v>48428000</v>
      </c>
    </row>
    <row r="16" spans="1:18" ht="14.1" customHeight="1" x14ac:dyDescent="0.2">
      <c r="A16" s="324" t="s">
        <v>2431</v>
      </c>
      <c r="B16" s="325"/>
      <c r="C16" s="325"/>
      <c r="D16" s="325"/>
      <c r="E16" s="325"/>
      <c r="F16" s="325"/>
      <c r="G16" s="325"/>
      <c r="H16" s="326"/>
      <c r="I16" s="4">
        <v>7</v>
      </c>
      <c r="J16" s="8"/>
      <c r="K16" s="236"/>
      <c r="L16" s="235"/>
    </row>
    <row r="17" spans="1:12" ht="14.1" customHeight="1" x14ac:dyDescent="0.2">
      <c r="A17" s="324" t="s">
        <v>1241</v>
      </c>
      <c r="B17" s="325"/>
      <c r="C17" s="325"/>
      <c r="D17" s="325"/>
      <c r="E17" s="325"/>
      <c r="F17" s="325"/>
      <c r="G17" s="325"/>
      <c r="H17" s="326"/>
      <c r="I17" s="4">
        <v>8</v>
      </c>
      <c r="J17" s="8"/>
      <c r="K17" s="236">
        <v>62017000</v>
      </c>
      <c r="L17" s="235">
        <v>45778000</v>
      </c>
    </row>
    <row r="18" spans="1:12" ht="14.1" customHeight="1" x14ac:dyDescent="0.2">
      <c r="A18" s="324" t="s">
        <v>1242</v>
      </c>
      <c r="B18" s="325"/>
      <c r="C18" s="325"/>
      <c r="D18" s="325"/>
      <c r="E18" s="325"/>
      <c r="F18" s="325"/>
      <c r="G18" s="325"/>
      <c r="H18" s="326"/>
      <c r="I18" s="4">
        <v>9</v>
      </c>
      <c r="J18" s="8"/>
      <c r="K18" s="58"/>
      <c r="L18" s="68"/>
    </row>
    <row r="19" spans="1:12" ht="14.1" customHeight="1" x14ac:dyDescent="0.2">
      <c r="A19" s="327" t="s">
        <v>1015</v>
      </c>
      <c r="B19" s="328"/>
      <c r="C19" s="328"/>
      <c r="D19" s="328"/>
      <c r="E19" s="328"/>
      <c r="F19" s="328"/>
      <c r="G19" s="328"/>
      <c r="H19" s="329"/>
      <c r="I19" s="4">
        <v>10</v>
      </c>
      <c r="J19" s="8"/>
      <c r="K19" s="59">
        <f>SUM(K20:K28)</f>
        <v>1665407000</v>
      </c>
      <c r="L19" s="67">
        <f>SUM(L20:L28)</f>
        <v>1745235000</v>
      </c>
    </row>
    <row r="20" spans="1:12" ht="14.1" customHeight="1" x14ac:dyDescent="0.2">
      <c r="A20" s="324" t="s">
        <v>1243</v>
      </c>
      <c r="B20" s="325"/>
      <c r="C20" s="325"/>
      <c r="D20" s="325"/>
      <c r="E20" s="325"/>
      <c r="F20" s="325"/>
      <c r="G20" s="325"/>
      <c r="H20" s="326"/>
      <c r="I20" s="4">
        <v>11</v>
      </c>
      <c r="J20" s="8"/>
      <c r="K20" s="58">
        <v>154897000</v>
      </c>
      <c r="L20" s="68">
        <v>185217000</v>
      </c>
    </row>
    <row r="21" spans="1:12" ht="14.1" customHeight="1" x14ac:dyDescent="0.2">
      <c r="A21" s="324" t="s">
        <v>1414</v>
      </c>
      <c r="B21" s="325"/>
      <c r="C21" s="325"/>
      <c r="D21" s="325"/>
      <c r="E21" s="325"/>
      <c r="F21" s="325"/>
      <c r="G21" s="325"/>
      <c r="H21" s="326"/>
      <c r="I21" s="4">
        <v>12</v>
      </c>
      <c r="J21" s="8"/>
      <c r="K21" s="58">
        <v>906649000</v>
      </c>
      <c r="L21" s="68">
        <v>988048000</v>
      </c>
    </row>
    <row r="22" spans="1:12" ht="14.1" customHeight="1" x14ac:dyDescent="0.2">
      <c r="A22" s="324" t="s">
        <v>1244</v>
      </c>
      <c r="B22" s="325"/>
      <c r="C22" s="325"/>
      <c r="D22" s="325"/>
      <c r="E22" s="325"/>
      <c r="F22" s="325"/>
      <c r="G22" s="325"/>
      <c r="H22" s="326"/>
      <c r="I22" s="4">
        <v>13</v>
      </c>
      <c r="J22" s="8"/>
      <c r="K22" s="236">
        <v>372231000</v>
      </c>
      <c r="L22" s="235">
        <v>442074000</v>
      </c>
    </row>
    <row r="23" spans="1:12" ht="14.1" customHeight="1" x14ac:dyDescent="0.2">
      <c r="A23" s="324" t="s">
        <v>185</v>
      </c>
      <c r="B23" s="325"/>
      <c r="C23" s="325"/>
      <c r="D23" s="325"/>
      <c r="E23" s="325"/>
      <c r="F23" s="325"/>
      <c r="G23" s="325"/>
      <c r="H23" s="326"/>
      <c r="I23" s="4">
        <v>14</v>
      </c>
      <c r="J23" s="8"/>
      <c r="K23" s="236">
        <v>21013000</v>
      </c>
      <c r="L23" s="235">
        <v>22272000</v>
      </c>
    </row>
    <row r="24" spans="1:12" ht="14.1" customHeight="1" x14ac:dyDescent="0.2">
      <c r="A24" s="324" t="s">
        <v>186</v>
      </c>
      <c r="B24" s="325"/>
      <c r="C24" s="325"/>
      <c r="D24" s="325"/>
      <c r="E24" s="325"/>
      <c r="F24" s="325"/>
      <c r="G24" s="325"/>
      <c r="H24" s="326"/>
      <c r="I24" s="4">
        <v>15</v>
      </c>
      <c r="J24" s="8"/>
      <c r="K24" s="236">
        <v>0</v>
      </c>
      <c r="L24" s="235">
        <v>0</v>
      </c>
    </row>
    <row r="25" spans="1:12" ht="14.1" customHeight="1" x14ac:dyDescent="0.2">
      <c r="A25" s="324" t="s">
        <v>187</v>
      </c>
      <c r="B25" s="325"/>
      <c r="C25" s="325"/>
      <c r="D25" s="325"/>
      <c r="E25" s="325"/>
      <c r="F25" s="325"/>
      <c r="G25" s="325"/>
      <c r="H25" s="326"/>
      <c r="I25" s="4">
        <v>16</v>
      </c>
      <c r="J25" s="8"/>
      <c r="K25" s="236">
        <v>2762000</v>
      </c>
      <c r="L25" s="235">
        <v>494000</v>
      </c>
    </row>
    <row r="26" spans="1:12" ht="14.1" customHeight="1" x14ac:dyDescent="0.2">
      <c r="A26" s="324" t="s">
        <v>188</v>
      </c>
      <c r="B26" s="325"/>
      <c r="C26" s="325"/>
      <c r="D26" s="325"/>
      <c r="E26" s="325"/>
      <c r="F26" s="325"/>
      <c r="G26" s="325"/>
      <c r="H26" s="326"/>
      <c r="I26" s="4">
        <v>17</v>
      </c>
      <c r="J26" s="8"/>
      <c r="K26" s="236">
        <v>204625000</v>
      </c>
      <c r="L26" s="235">
        <v>103905000</v>
      </c>
    </row>
    <row r="27" spans="1:12" ht="14.1" customHeight="1" x14ac:dyDescent="0.2">
      <c r="A27" s="324" t="s">
        <v>189</v>
      </c>
      <c r="B27" s="325"/>
      <c r="C27" s="325"/>
      <c r="D27" s="325"/>
      <c r="E27" s="325"/>
      <c r="F27" s="325"/>
      <c r="G27" s="325"/>
      <c r="H27" s="326"/>
      <c r="I27" s="4">
        <v>18</v>
      </c>
      <c r="J27" s="8"/>
      <c r="K27" s="236">
        <v>3230000</v>
      </c>
      <c r="L27" s="235">
        <v>3225000</v>
      </c>
    </row>
    <row r="28" spans="1:12" ht="14.1" customHeight="1" x14ac:dyDescent="0.2">
      <c r="A28" s="324" t="s">
        <v>190</v>
      </c>
      <c r="B28" s="325"/>
      <c r="C28" s="325"/>
      <c r="D28" s="325"/>
      <c r="E28" s="325"/>
      <c r="F28" s="325"/>
      <c r="G28" s="325"/>
      <c r="H28" s="326"/>
      <c r="I28" s="4">
        <v>19</v>
      </c>
      <c r="J28" s="8"/>
      <c r="K28" s="58">
        <v>0</v>
      </c>
      <c r="L28" s="68">
        <v>0</v>
      </c>
    </row>
    <row r="29" spans="1:12" ht="14.1" customHeight="1" x14ac:dyDescent="0.2">
      <c r="A29" s="327" t="s">
        <v>1016</v>
      </c>
      <c r="B29" s="328"/>
      <c r="C29" s="328"/>
      <c r="D29" s="328"/>
      <c r="E29" s="328"/>
      <c r="F29" s="328"/>
      <c r="G29" s="328"/>
      <c r="H29" s="329"/>
      <c r="I29" s="4">
        <v>20</v>
      </c>
      <c r="J29" s="8"/>
      <c r="K29" s="59">
        <f>SUM(K30:K36)</f>
        <v>56707000</v>
      </c>
      <c r="L29" s="67">
        <f>SUM(L30:L36)</f>
        <v>57050000</v>
      </c>
    </row>
    <row r="30" spans="1:12" ht="14.1" customHeight="1" x14ac:dyDescent="0.2">
      <c r="A30" s="324" t="s">
        <v>191</v>
      </c>
      <c r="B30" s="325"/>
      <c r="C30" s="325"/>
      <c r="D30" s="325"/>
      <c r="E30" s="325"/>
      <c r="F30" s="325"/>
      <c r="G30" s="325"/>
      <c r="H30" s="326"/>
      <c r="I30" s="4">
        <v>21</v>
      </c>
      <c r="J30" s="8"/>
      <c r="K30" s="236">
        <v>0</v>
      </c>
      <c r="L30" s="235">
        <v>0</v>
      </c>
    </row>
    <row r="31" spans="1:12" ht="14.1" customHeight="1" x14ac:dyDescent="0.2">
      <c r="A31" s="324" t="s">
        <v>192</v>
      </c>
      <c r="B31" s="325"/>
      <c r="C31" s="325"/>
      <c r="D31" s="325"/>
      <c r="E31" s="325"/>
      <c r="F31" s="325"/>
      <c r="G31" s="325"/>
      <c r="H31" s="326"/>
      <c r="I31" s="4">
        <v>22</v>
      </c>
      <c r="J31" s="8"/>
      <c r="K31" s="236">
        <v>0</v>
      </c>
      <c r="L31" s="235">
        <v>0</v>
      </c>
    </row>
    <row r="32" spans="1:12" ht="14.1" customHeight="1" x14ac:dyDescent="0.2">
      <c r="A32" s="324" t="s">
        <v>193</v>
      </c>
      <c r="B32" s="325"/>
      <c r="C32" s="325"/>
      <c r="D32" s="325"/>
      <c r="E32" s="325"/>
      <c r="F32" s="325"/>
      <c r="G32" s="325"/>
      <c r="H32" s="326"/>
      <c r="I32" s="4">
        <v>23</v>
      </c>
      <c r="J32" s="8"/>
      <c r="K32" s="236">
        <v>0</v>
      </c>
      <c r="L32" s="235">
        <v>0</v>
      </c>
    </row>
    <row r="33" spans="1:12" ht="14.1" customHeight="1" x14ac:dyDescent="0.2">
      <c r="A33" s="324" t="s">
        <v>194</v>
      </c>
      <c r="B33" s="325"/>
      <c r="C33" s="325"/>
      <c r="D33" s="325"/>
      <c r="E33" s="325"/>
      <c r="F33" s="325"/>
      <c r="G33" s="325"/>
      <c r="H33" s="326"/>
      <c r="I33" s="4">
        <v>24</v>
      </c>
      <c r="J33" s="8"/>
      <c r="K33" s="236">
        <v>0</v>
      </c>
      <c r="L33" s="235">
        <v>0</v>
      </c>
    </row>
    <row r="34" spans="1:12" ht="14.1" customHeight="1" x14ac:dyDescent="0.2">
      <c r="A34" s="324" t="s">
        <v>195</v>
      </c>
      <c r="B34" s="325"/>
      <c r="C34" s="325"/>
      <c r="D34" s="325"/>
      <c r="E34" s="325"/>
      <c r="F34" s="325"/>
      <c r="G34" s="325"/>
      <c r="H34" s="326"/>
      <c r="I34" s="4">
        <v>25</v>
      </c>
      <c r="J34" s="8"/>
      <c r="K34" s="236">
        <v>56545000</v>
      </c>
      <c r="L34" s="235">
        <v>56885000</v>
      </c>
    </row>
    <row r="35" spans="1:12" ht="14.1" customHeight="1" x14ac:dyDescent="0.2">
      <c r="A35" s="324" t="s">
        <v>196</v>
      </c>
      <c r="B35" s="325"/>
      <c r="C35" s="325"/>
      <c r="D35" s="325"/>
      <c r="E35" s="325"/>
      <c r="F35" s="325"/>
      <c r="G35" s="325"/>
      <c r="H35" s="326"/>
      <c r="I35" s="4">
        <v>26</v>
      </c>
      <c r="J35" s="8"/>
      <c r="K35" s="236">
        <v>0</v>
      </c>
      <c r="L35" s="235">
        <v>0</v>
      </c>
    </row>
    <row r="36" spans="1:12" ht="14.1" customHeight="1" x14ac:dyDescent="0.2">
      <c r="A36" s="324" t="s">
        <v>197</v>
      </c>
      <c r="B36" s="325"/>
      <c r="C36" s="325"/>
      <c r="D36" s="325"/>
      <c r="E36" s="325"/>
      <c r="F36" s="325"/>
      <c r="G36" s="325"/>
      <c r="H36" s="326"/>
      <c r="I36" s="4">
        <v>27</v>
      </c>
      <c r="J36" s="8"/>
      <c r="K36" s="236">
        <v>162000</v>
      </c>
      <c r="L36" s="235">
        <v>165000</v>
      </c>
    </row>
    <row r="37" spans="1:12" ht="14.1" customHeight="1" x14ac:dyDescent="0.2">
      <c r="A37" s="327" t="s">
        <v>1017</v>
      </c>
      <c r="B37" s="328"/>
      <c r="C37" s="328"/>
      <c r="D37" s="328"/>
      <c r="E37" s="328"/>
      <c r="F37" s="328"/>
      <c r="G37" s="328"/>
      <c r="H37" s="329"/>
      <c r="I37" s="4">
        <v>28</v>
      </c>
      <c r="J37" s="8"/>
      <c r="K37" s="59">
        <f>SUM(K38:K40)</f>
        <v>0</v>
      </c>
      <c r="L37" s="67">
        <f>SUM(L38:L40)</f>
        <v>0</v>
      </c>
    </row>
    <row r="38" spans="1:12" ht="14.1" customHeight="1" x14ac:dyDescent="0.2">
      <c r="A38" s="324" t="s">
        <v>198</v>
      </c>
      <c r="B38" s="325"/>
      <c r="C38" s="325"/>
      <c r="D38" s="325"/>
      <c r="E38" s="325"/>
      <c r="F38" s="325"/>
      <c r="G38" s="325"/>
      <c r="H38" s="326"/>
      <c r="I38" s="4">
        <v>29</v>
      </c>
      <c r="J38" s="8"/>
      <c r="K38" s="236">
        <v>0</v>
      </c>
      <c r="L38" s="235">
        <v>0</v>
      </c>
    </row>
    <row r="39" spans="1:12" ht="14.1" customHeight="1" x14ac:dyDescent="0.2">
      <c r="A39" s="324" t="s">
        <v>199</v>
      </c>
      <c r="B39" s="325"/>
      <c r="C39" s="325"/>
      <c r="D39" s="325"/>
      <c r="E39" s="325"/>
      <c r="F39" s="325"/>
      <c r="G39" s="325"/>
      <c r="H39" s="326"/>
      <c r="I39" s="4">
        <v>30</v>
      </c>
      <c r="J39" s="8"/>
      <c r="K39" s="236">
        <v>0</v>
      </c>
      <c r="L39" s="235">
        <v>0</v>
      </c>
    </row>
    <row r="40" spans="1:12" ht="14.1" customHeight="1" x14ac:dyDescent="0.2">
      <c r="A40" s="324" t="s">
        <v>200</v>
      </c>
      <c r="B40" s="325"/>
      <c r="C40" s="325"/>
      <c r="D40" s="325"/>
      <c r="E40" s="325"/>
      <c r="F40" s="325"/>
      <c r="G40" s="325"/>
      <c r="H40" s="326"/>
      <c r="I40" s="4">
        <v>31</v>
      </c>
      <c r="J40" s="8"/>
      <c r="K40" s="236">
        <v>0</v>
      </c>
      <c r="L40" s="235">
        <v>0</v>
      </c>
    </row>
    <row r="41" spans="1:12" ht="14.1" customHeight="1" x14ac:dyDescent="0.2">
      <c r="A41" s="327" t="s">
        <v>1018</v>
      </c>
      <c r="B41" s="328"/>
      <c r="C41" s="328"/>
      <c r="D41" s="328"/>
      <c r="E41" s="328"/>
      <c r="F41" s="328"/>
      <c r="G41" s="328"/>
      <c r="H41" s="329"/>
      <c r="I41" s="4">
        <v>32</v>
      </c>
      <c r="J41" s="8"/>
      <c r="K41" s="236">
        <v>35598000</v>
      </c>
      <c r="L41" s="235">
        <v>41321000</v>
      </c>
    </row>
    <row r="42" spans="1:12" ht="14.1" customHeight="1" x14ac:dyDescent="0.2">
      <c r="A42" s="330" t="s">
        <v>1019</v>
      </c>
      <c r="B42" s="331"/>
      <c r="C42" s="331"/>
      <c r="D42" s="331"/>
      <c r="E42" s="331"/>
      <c r="F42" s="331"/>
      <c r="G42" s="331"/>
      <c r="H42" s="332"/>
      <c r="I42" s="4">
        <v>33</v>
      </c>
      <c r="J42" s="8"/>
      <c r="K42" s="59">
        <f>K43+K51+K58+K66</f>
        <v>1852720000</v>
      </c>
      <c r="L42" s="67">
        <f>L43+L51+L58+L66</f>
        <v>2268743000</v>
      </c>
    </row>
    <row r="43" spans="1:12" ht="14.1" customHeight="1" x14ac:dyDescent="0.2">
      <c r="A43" s="327" t="s">
        <v>1020</v>
      </c>
      <c r="B43" s="328"/>
      <c r="C43" s="328"/>
      <c r="D43" s="328"/>
      <c r="E43" s="328"/>
      <c r="F43" s="328"/>
      <c r="G43" s="328"/>
      <c r="H43" s="329"/>
      <c r="I43" s="4">
        <v>34</v>
      </c>
      <c r="J43" s="8"/>
      <c r="K43" s="59">
        <f>SUM(K44:K50)</f>
        <v>625816000</v>
      </c>
      <c r="L43" s="67">
        <f>SUM(L44:L50)</f>
        <v>688322000</v>
      </c>
    </row>
    <row r="44" spans="1:12" ht="14.1" customHeight="1" x14ac:dyDescent="0.2">
      <c r="A44" s="324" t="s">
        <v>2371</v>
      </c>
      <c r="B44" s="325"/>
      <c r="C44" s="325"/>
      <c r="D44" s="325"/>
      <c r="E44" s="325"/>
      <c r="F44" s="325"/>
      <c r="G44" s="325"/>
      <c r="H44" s="326"/>
      <c r="I44" s="4">
        <v>35</v>
      </c>
      <c r="J44" s="8"/>
      <c r="K44" s="236">
        <v>223921000</v>
      </c>
      <c r="L44" s="235">
        <v>231163000</v>
      </c>
    </row>
    <row r="45" spans="1:12" ht="14.1" customHeight="1" x14ac:dyDescent="0.2">
      <c r="A45" s="324" t="s">
        <v>2372</v>
      </c>
      <c r="B45" s="325"/>
      <c r="C45" s="325"/>
      <c r="D45" s="325"/>
      <c r="E45" s="325"/>
      <c r="F45" s="325"/>
      <c r="G45" s="325"/>
      <c r="H45" s="326"/>
      <c r="I45" s="4">
        <v>36</v>
      </c>
      <c r="J45" s="8"/>
      <c r="K45" s="236">
        <v>4967000</v>
      </c>
      <c r="L45" s="235">
        <v>6528000</v>
      </c>
    </row>
    <row r="46" spans="1:12" ht="14.1" customHeight="1" x14ac:dyDescent="0.2">
      <c r="A46" s="324" t="s">
        <v>2373</v>
      </c>
      <c r="B46" s="325"/>
      <c r="C46" s="325"/>
      <c r="D46" s="325"/>
      <c r="E46" s="325"/>
      <c r="F46" s="325"/>
      <c r="G46" s="325"/>
      <c r="H46" s="326"/>
      <c r="I46" s="4">
        <v>37</v>
      </c>
      <c r="J46" s="8"/>
      <c r="K46" s="236">
        <v>44961000</v>
      </c>
      <c r="L46" s="235">
        <v>39475000</v>
      </c>
    </row>
    <row r="47" spans="1:12" ht="14.1" customHeight="1" x14ac:dyDescent="0.2">
      <c r="A47" s="324" t="s">
        <v>2374</v>
      </c>
      <c r="B47" s="325"/>
      <c r="C47" s="325"/>
      <c r="D47" s="325"/>
      <c r="E47" s="325"/>
      <c r="F47" s="325"/>
      <c r="G47" s="325"/>
      <c r="H47" s="326"/>
      <c r="I47" s="4">
        <v>38</v>
      </c>
      <c r="J47" s="8"/>
      <c r="K47" s="236">
        <v>218906000</v>
      </c>
      <c r="L47" s="235">
        <v>236946000</v>
      </c>
    </row>
    <row r="48" spans="1:12" ht="14.1" customHeight="1" x14ac:dyDescent="0.2">
      <c r="A48" s="324" t="s">
        <v>2375</v>
      </c>
      <c r="B48" s="325"/>
      <c r="C48" s="325"/>
      <c r="D48" s="325"/>
      <c r="E48" s="325"/>
      <c r="F48" s="325"/>
      <c r="G48" s="325"/>
      <c r="H48" s="326"/>
      <c r="I48" s="4">
        <v>39</v>
      </c>
      <c r="J48" s="8"/>
      <c r="K48" s="236">
        <v>133061000</v>
      </c>
      <c r="L48" s="235">
        <v>174210000</v>
      </c>
    </row>
    <row r="49" spans="1:12" ht="14.1" customHeight="1" x14ac:dyDescent="0.2">
      <c r="A49" s="324" t="s">
        <v>2376</v>
      </c>
      <c r="B49" s="325"/>
      <c r="C49" s="325"/>
      <c r="D49" s="325"/>
      <c r="E49" s="325"/>
      <c r="F49" s="325"/>
      <c r="G49" s="325"/>
      <c r="H49" s="326"/>
      <c r="I49" s="4">
        <v>40</v>
      </c>
      <c r="J49" s="8"/>
      <c r="K49" s="236">
        <v>0</v>
      </c>
      <c r="L49" s="235">
        <v>0</v>
      </c>
    </row>
    <row r="50" spans="1:12" ht="14.1" customHeight="1" x14ac:dyDescent="0.2">
      <c r="A50" s="324" t="s">
        <v>2377</v>
      </c>
      <c r="B50" s="325"/>
      <c r="C50" s="325"/>
      <c r="D50" s="325"/>
      <c r="E50" s="325"/>
      <c r="F50" s="325"/>
      <c r="G50" s="325"/>
      <c r="H50" s="326"/>
      <c r="I50" s="4">
        <v>41</v>
      </c>
      <c r="J50" s="8"/>
      <c r="K50" s="236">
        <v>0</v>
      </c>
      <c r="L50" s="235">
        <v>0</v>
      </c>
    </row>
    <row r="51" spans="1:12" ht="14.1" customHeight="1" x14ac:dyDescent="0.2">
      <c r="A51" s="327" t="s">
        <v>1021</v>
      </c>
      <c r="B51" s="328"/>
      <c r="C51" s="328"/>
      <c r="D51" s="328"/>
      <c r="E51" s="328"/>
      <c r="F51" s="328"/>
      <c r="G51" s="328"/>
      <c r="H51" s="329"/>
      <c r="I51" s="4">
        <v>42</v>
      </c>
      <c r="J51" s="8"/>
      <c r="K51" s="59">
        <f>SUM(K52:K57)</f>
        <v>1019367000</v>
      </c>
      <c r="L51" s="67">
        <f>SUM(L52:L57)</f>
        <v>1095872000</v>
      </c>
    </row>
    <row r="52" spans="1:12" ht="14.1" customHeight="1" x14ac:dyDescent="0.2">
      <c r="A52" s="324" t="s">
        <v>2378</v>
      </c>
      <c r="B52" s="325"/>
      <c r="C52" s="325"/>
      <c r="D52" s="325"/>
      <c r="E52" s="325"/>
      <c r="F52" s="325"/>
      <c r="G52" s="325"/>
      <c r="H52" s="326"/>
      <c r="I52" s="4">
        <v>43</v>
      </c>
      <c r="J52" s="8"/>
      <c r="K52" s="236">
        <v>0</v>
      </c>
      <c r="L52" s="235">
        <v>0</v>
      </c>
    </row>
    <row r="53" spans="1:12" ht="14.1" customHeight="1" x14ac:dyDescent="0.2">
      <c r="A53" s="324" t="s">
        <v>2379</v>
      </c>
      <c r="B53" s="325"/>
      <c r="C53" s="325"/>
      <c r="D53" s="325"/>
      <c r="E53" s="325"/>
      <c r="F53" s="325"/>
      <c r="G53" s="325"/>
      <c r="H53" s="326"/>
      <c r="I53" s="4">
        <v>44</v>
      </c>
      <c r="J53" s="8"/>
      <c r="K53" s="236">
        <v>952746000</v>
      </c>
      <c r="L53" s="235">
        <v>1030018000</v>
      </c>
    </row>
    <row r="54" spans="1:12" ht="14.1" customHeight="1" x14ac:dyDescent="0.2">
      <c r="A54" s="324" t="s">
        <v>1022</v>
      </c>
      <c r="B54" s="325"/>
      <c r="C54" s="325"/>
      <c r="D54" s="325"/>
      <c r="E54" s="325"/>
      <c r="F54" s="325"/>
      <c r="G54" s="325"/>
      <c r="H54" s="326"/>
      <c r="I54" s="4">
        <v>45</v>
      </c>
      <c r="J54" s="8"/>
      <c r="K54" s="236">
        <v>0</v>
      </c>
      <c r="L54" s="235">
        <v>0</v>
      </c>
    </row>
    <row r="55" spans="1:12" ht="14.1" customHeight="1" x14ac:dyDescent="0.2">
      <c r="A55" s="324" t="s">
        <v>1023</v>
      </c>
      <c r="B55" s="325"/>
      <c r="C55" s="325"/>
      <c r="D55" s="325"/>
      <c r="E55" s="325"/>
      <c r="F55" s="325"/>
      <c r="G55" s="325"/>
      <c r="H55" s="326"/>
      <c r="I55" s="4">
        <v>46</v>
      </c>
      <c r="J55" s="8"/>
      <c r="K55" s="236">
        <v>2928000</v>
      </c>
      <c r="L55" s="235">
        <v>2295000</v>
      </c>
    </row>
    <row r="56" spans="1:12" ht="14.1" customHeight="1" x14ac:dyDescent="0.2">
      <c r="A56" s="324" t="s">
        <v>1024</v>
      </c>
      <c r="B56" s="325"/>
      <c r="C56" s="325"/>
      <c r="D56" s="325"/>
      <c r="E56" s="325"/>
      <c r="F56" s="325"/>
      <c r="G56" s="325"/>
      <c r="H56" s="326"/>
      <c r="I56" s="4">
        <v>47</v>
      </c>
      <c r="J56" s="8"/>
      <c r="K56" s="236">
        <v>51062000</v>
      </c>
      <c r="L56" s="235">
        <v>54825000</v>
      </c>
    </row>
    <row r="57" spans="1:12" ht="14.1" customHeight="1" x14ac:dyDescent="0.2">
      <c r="A57" s="324" t="s">
        <v>1025</v>
      </c>
      <c r="B57" s="325"/>
      <c r="C57" s="325"/>
      <c r="D57" s="325"/>
      <c r="E57" s="325"/>
      <c r="F57" s="325"/>
      <c r="G57" s="325"/>
      <c r="H57" s="326"/>
      <c r="I57" s="4">
        <v>48</v>
      </c>
      <c r="J57" s="8"/>
      <c r="K57" s="236">
        <v>12631000</v>
      </c>
      <c r="L57" s="235">
        <v>8734000</v>
      </c>
    </row>
    <row r="58" spans="1:12" ht="14.1" customHeight="1" x14ac:dyDescent="0.2">
      <c r="A58" s="327" t="s">
        <v>1026</v>
      </c>
      <c r="B58" s="328"/>
      <c r="C58" s="328"/>
      <c r="D58" s="328"/>
      <c r="E58" s="328"/>
      <c r="F58" s="328"/>
      <c r="G58" s="328"/>
      <c r="H58" s="329"/>
      <c r="I58" s="4">
        <v>49</v>
      </c>
      <c r="J58" s="8"/>
      <c r="K58" s="59">
        <f>SUM(K59:K65)</f>
        <v>140568000</v>
      </c>
      <c r="L58" s="67">
        <f>SUM(L59:L65)</f>
        <v>191379000</v>
      </c>
    </row>
    <row r="59" spans="1:12" ht="14.1" customHeight="1" x14ac:dyDescent="0.2">
      <c r="A59" s="324" t="s">
        <v>191</v>
      </c>
      <c r="B59" s="325"/>
      <c r="C59" s="325"/>
      <c r="D59" s="325"/>
      <c r="E59" s="325"/>
      <c r="F59" s="325"/>
      <c r="G59" s="325"/>
      <c r="H59" s="326"/>
      <c r="I59" s="4">
        <v>50</v>
      </c>
      <c r="J59" s="8"/>
      <c r="K59" s="236">
        <v>0</v>
      </c>
      <c r="L59" s="235">
        <v>0</v>
      </c>
    </row>
    <row r="60" spans="1:12" ht="14.1" customHeight="1" x14ac:dyDescent="0.2">
      <c r="A60" s="324" t="s">
        <v>192</v>
      </c>
      <c r="B60" s="325"/>
      <c r="C60" s="325"/>
      <c r="D60" s="325"/>
      <c r="E60" s="325"/>
      <c r="F60" s="325"/>
      <c r="G60" s="325"/>
      <c r="H60" s="326"/>
      <c r="I60" s="4">
        <v>51</v>
      </c>
      <c r="J60" s="8"/>
      <c r="K60" s="236">
        <v>0</v>
      </c>
      <c r="L60" s="235">
        <v>0</v>
      </c>
    </row>
    <row r="61" spans="1:12" ht="14.1" customHeight="1" x14ac:dyDescent="0.2">
      <c r="A61" s="324" t="s">
        <v>921</v>
      </c>
      <c r="B61" s="325"/>
      <c r="C61" s="325"/>
      <c r="D61" s="325"/>
      <c r="E61" s="325"/>
      <c r="F61" s="325"/>
      <c r="G61" s="325"/>
      <c r="H61" s="326"/>
      <c r="I61" s="4">
        <v>52</v>
      </c>
      <c r="J61" s="8"/>
      <c r="K61" s="236">
        <v>110000</v>
      </c>
      <c r="L61" s="235">
        <v>330000</v>
      </c>
    </row>
    <row r="62" spans="1:12" ht="14.1" customHeight="1" x14ac:dyDescent="0.2">
      <c r="A62" s="324" t="s">
        <v>194</v>
      </c>
      <c r="B62" s="325"/>
      <c r="C62" s="325"/>
      <c r="D62" s="325"/>
      <c r="E62" s="325"/>
      <c r="F62" s="325"/>
      <c r="G62" s="325"/>
      <c r="H62" s="326"/>
      <c r="I62" s="4">
        <v>53</v>
      </c>
      <c r="J62" s="8"/>
      <c r="K62" s="236">
        <v>36643000</v>
      </c>
      <c r="L62" s="235">
        <v>76534000</v>
      </c>
    </row>
    <row r="63" spans="1:12" ht="14.1" customHeight="1" x14ac:dyDescent="0.2">
      <c r="A63" s="324" t="s">
        <v>1228</v>
      </c>
      <c r="B63" s="325"/>
      <c r="C63" s="325"/>
      <c r="D63" s="325"/>
      <c r="E63" s="325"/>
      <c r="F63" s="325"/>
      <c r="G63" s="325"/>
      <c r="H63" s="326"/>
      <c r="I63" s="4">
        <v>54</v>
      </c>
      <c r="J63" s="8"/>
      <c r="K63" s="236">
        <v>76031000</v>
      </c>
      <c r="L63" s="235">
        <v>76241000</v>
      </c>
    </row>
    <row r="64" spans="1:12" ht="14.1" customHeight="1" x14ac:dyDescent="0.2">
      <c r="A64" s="324" t="s">
        <v>196</v>
      </c>
      <c r="B64" s="325"/>
      <c r="C64" s="325"/>
      <c r="D64" s="325"/>
      <c r="E64" s="325"/>
      <c r="F64" s="325"/>
      <c r="G64" s="325"/>
      <c r="H64" s="326"/>
      <c r="I64" s="4">
        <v>55</v>
      </c>
      <c r="J64" s="8"/>
      <c r="K64" s="236">
        <v>9053000</v>
      </c>
      <c r="L64" s="235">
        <v>30853000</v>
      </c>
    </row>
    <row r="65" spans="1:12" ht="14.1" customHeight="1" x14ac:dyDescent="0.2">
      <c r="A65" s="324" t="s">
        <v>1229</v>
      </c>
      <c r="B65" s="325"/>
      <c r="C65" s="325"/>
      <c r="D65" s="325"/>
      <c r="E65" s="325"/>
      <c r="F65" s="325"/>
      <c r="G65" s="325"/>
      <c r="H65" s="326"/>
      <c r="I65" s="4">
        <v>56</v>
      </c>
      <c r="J65" s="8"/>
      <c r="K65" s="236">
        <v>18731000</v>
      </c>
      <c r="L65" s="235">
        <v>7421000</v>
      </c>
    </row>
    <row r="66" spans="1:12" ht="14.1" customHeight="1" x14ac:dyDescent="0.2">
      <c r="A66" s="327" t="s">
        <v>2432</v>
      </c>
      <c r="B66" s="328"/>
      <c r="C66" s="328"/>
      <c r="D66" s="328"/>
      <c r="E66" s="328"/>
      <c r="F66" s="328"/>
      <c r="G66" s="328"/>
      <c r="H66" s="329"/>
      <c r="I66" s="4">
        <v>57</v>
      </c>
      <c r="J66" s="8"/>
      <c r="K66" s="236">
        <v>66969000</v>
      </c>
      <c r="L66" s="235">
        <v>293170000</v>
      </c>
    </row>
    <row r="67" spans="1:12" ht="14.1" customHeight="1" x14ac:dyDescent="0.2">
      <c r="A67" s="330" t="s">
        <v>2433</v>
      </c>
      <c r="B67" s="331"/>
      <c r="C67" s="331"/>
      <c r="D67" s="331"/>
      <c r="E67" s="331"/>
      <c r="F67" s="331"/>
      <c r="G67" s="331"/>
      <c r="H67" s="332"/>
      <c r="I67" s="4">
        <v>58</v>
      </c>
      <c r="J67" s="8"/>
      <c r="K67" s="236">
        <v>5666000</v>
      </c>
      <c r="L67" s="236">
        <v>14687000</v>
      </c>
    </row>
    <row r="68" spans="1:12" ht="14.1" customHeight="1" x14ac:dyDescent="0.2">
      <c r="A68" s="330" t="s">
        <v>2434</v>
      </c>
      <c r="B68" s="331"/>
      <c r="C68" s="331"/>
      <c r="D68" s="331"/>
      <c r="E68" s="331"/>
      <c r="F68" s="331"/>
      <c r="G68" s="331"/>
      <c r="H68" s="332"/>
      <c r="I68" s="4">
        <v>59</v>
      </c>
      <c r="J68" s="8"/>
      <c r="K68" s="236">
        <v>0</v>
      </c>
      <c r="L68" s="236">
        <v>0</v>
      </c>
    </row>
    <row r="69" spans="1:12" ht="14.1" customHeight="1" x14ac:dyDescent="0.2">
      <c r="A69" s="330" t="s">
        <v>2435</v>
      </c>
      <c r="B69" s="331"/>
      <c r="C69" s="331"/>
      <c r="D69" s="331"/>
      <c r="E69" s="331"/>
      <c r="F69" s="331"/>
      <c r="G69" s="331"/>
      <c r="H69" s="332"/>
      <c r="I69" s="4">
        <v>60</v>
      </c>
      <c r="J69" s="8"/>
      <c r="K69" s="59">
        <f>K10+K11+K42+K67+K68</f>
        <v>3844535000</v>
      </c>
      <c r="L69" s="67">
        <f>L10+L11+L42+L67+L68</f>
        <v>4517096000</v>
      </c>
    </row>
    <row r="70" spans="1:12" ht="14.1" customHeight="1" x14ac:dyDescent="0.2">
      <c r="A70" s="363" t="s">
        <v>2436</v>
      </c>
      <c r="B70" s="364"/>
      <c r="C70" s="364"/>
      <c r="D70" s="364"/>
      <c r="E70" s="364"/>
      <c r="F70" s="364"/>
      <c r="G70" s="364"/>
      <c r="H70" s="365"/>
      <c r="I70" s="5">
        <v>61</v>
      </c>
      <c r="J70" s="9"/>
      <c r="K70" s="58"/>
      <c r="L70" s="68"/>
    </row>
    <row r="71" spans="1:12" ht="14.1" customHeight="1" x14ac:dyDescent="0.2">
      <c r="A71" s="346" t="s">
        <v>2437</v>
      </c>
      <c r="B71" s="361"/>
      <c r="C71" s="361"/>
      <c r="D71" s="361"/>
      <c r="E71" s="361"/>
      <c r="F71" s="361"/>
      <c r="G71" s="361"/>
      <c r="H71" s="361"/>
      <c r="I71" s="361"/>
      <c r="J71" s="361"/>
      <c r="K71" s="361"/>
      <c r="L71" s="362"/>
    </row>
    <row r="72" spans="1:12" ht="14.1" customHeight="1" x14ac:dyDescent="0.2">
      <c r="A72" s="333" t="s">
        <v>1230</v>
      </c>
      <c r="B72" s="334"/>
      <c r="C72" s="334"/>
      <c r="D72" s="334"/>
      <c r="E72" s="334"/>
      <c r="F72" s="334"/>
      <c r="G72" s="334"/>
      <c r="H72" s="335"/>
      <c r="I72" s="6">
        <v>62</v>
      </c>
      <c r="J72" s="7"/>
      <c r="K72" s="59">
        <f>K73+K74+K75+K81+K82-K83+K84-K85+K86</f>
        <v>1943234000</v>
      </c>
      <c r="L72" s="67">
        <f>L73+L74+L75+L81+L82-L83+L84-L85+L86</f>
        <v>1950757000</v>
      </c>
    </row>
    <row r="73" spans="1:12" ht="14.1" customHeight="1" x14ac:dyDescent="0.2">
      <c r="A73" s="327" t="s">
        <v>291</v>
      </c>
      <c r="B73" s="328"/>
      <c r="C73" s="328"/>
      <c r="D73" s="328"/>
      <c r="E73" s="328"/>
      <c r="F73" s="328"/>
      <c r="G73" s="328"/>
      <c r="H73" s="329"/>
      <c r="I73" s="4">
        <v>63</v>
      </c>
      <c r="J73" s="8"/>
      <c r="K73" s="236">
        <v>1626001000</v>
      </c>
      <c r="L73" s="236">
        <v>1626001000</v>
      </c>
    </row>
    <row r="74" spans="1:12" ht="14.1" customHeight="1" x14ac:dyDescent="0.2">
      <c r="A74" s="327" t="s">
        <v>292</v>
      </c>
      <c r="B74" s="328"/>
      <c r="C74" s="328"/>
      <c r="D74" s="328"/>
      <c r="E74" s="328"/>
      <c r="F74" s="328"/>
      <c r="G74" s="328"/>
      <c r="H74" s="329"/>
      <c r="I74" s="4">
        <v>64</v>
      </c>
      <c r="J74" s="8"/>
      <c r="K74" s="236">
        <v>33164000</v>
      </c>
      <c r="L74" s="236">
        <v>22569000</v>
      </c>
    </row>
    <row r="75" spans="1:12" ht="14.1" customHeight="1" x14ac:dyDescent="0.2">
      <c r="A75" s="327" t="s">
        <v>293</v>
      </c>
      <c r="B75" s="328"/>
      <c r="C75" s="328"/>
      <c r="D75" s="328"/>
      <c r="E75" s="328"/>
      <c r="F75" s="328"/>
      <c r="G75" s="328"/>
      <c r="H75" s="329"/>
      <c r="I75" s="4">
        <v>65</v>
      </c>
      <c r="J75" s="8"/>
      <c r="K75" s="59">
        <f>K76+K77-K78+K79+K80</f>
        <v>72808000</v>
      </c>
      <c r="L75" s="67">
        <f>L76+L77-L78+L79+L80</f>
        <v>17984000</v>
      </c>
    </row>
    <row r="76" spans="1:12" ht="14.1" customHeight="1" x14ac:dyDescent="0.2">
      <c r="A76" s="324" t="s">
        <v>294</v>
      </c>
      <c r="B76" s="325"/>
      <c r="C76" s="325"/>
      <c r="D76" s="325"/>
      <c r="E76" s="325"/>
      <c r="F76" s="325"/>
      <c r="G76" s="325"/>
      <c r="H76" s="326"/>
      <c r="I76" s="4">
        <v>66</v>
      </c>
      <c r="J76" s="8"/>
      <c r="K76" s="236">
        <v>44717000</v>
      </c>
      <c r="L76" s="235">
        <v>44567000</v>
      </c>
    </row>
    <row r="77" spans="1:12" ht="14.1" customHeight="1" x14ac:dyDescent="0.2">
      <c r="A77" s="324" t="s">
        <v>295</v>
      </c>
      <c r="B77" s="325"/>
      <c r="C77" s="325"/>
      <c r="D77" s="325"/>
      <c r="E77" s="325"/>
      <c r="F77" s="325"/>
      <c r="G77" s="325"/>
      <c r="H77" s="326"/>
      <c r="I77" s="4">
        <v>67</v>
      </c>
      <c r="J77" s="8"/>
      <c r="K77" s="236">
        <v>6711000</v>
      </c>
      <c r="L77" s="235">
        <v>26014000</v>
      </c>
    </row>
    <row r="78" spans="1:12" ht="14.1" customHeight="1" x14ac:dyDescent="0.2">
      <c r="A78" s="324" t="s">
        <v>1571</v>
      </c>
      <c r="B78" s="325"/>
      <c r="C78" s="325"/>
      <c r="D78" s="325"/>
      <c r="E78" s="325"/>
      <c r="F78" s="325"/>
      <c r="G78" s="325"/>
      <c r="H78" s="326"/>
      <c r="I78" s="4">
        <v>68</v>
      </c>
      <c r="J78" s="8"/>
      <c r="K78" s="236">
        <v>48205000</v>
      </c>
      <c r="L78" s="235">
        <v>67604000</v>
      </c>
    </row>
    <row r="79" spans="1:12" ht="14.1" customHeight="1" x14ac:dyDescent="0.2">
      <c r="A79" s="324" t="s">
        <v>1572</v>
      </c>
      <c r="B79" s="325"/>
      <c r="C79" s="325"/>
      <c r="D79" s="325"/>
      <c r="E79" s="325"/>
      <c r="F79" s="325"/>
      <c r="G79" s="325"/>
      <c r="H79" s="326"/>
      <c r="I79" s="4">
        <v>69</v>
      </c>
      <c r="J79" s="8"/>
      <c r="K79" s="58"/>
      <c r="L79" s="68">
        <v>0</v>
      </c>
    </row>
    <row r="80" spans="1:12" ht="14.1" customHeight="1" x14ac:dyDescent="0.2">
      <c r="A80" s="324" t="s">
        <v>1573</v>
      </c>
      <c r="B80" s="325"/>
      <c r="C80" s="325"/>
      <c r="D80" s="325"/>
      <c r="E80" s="325"/>
      <c r="F80" s="325"/>
      <c r="G80" s="325"/>
      <c r="H80" s="326"/>
      <c r="I80" s="4">
        <v>70</v>
      </c>
      <c r="J80" s="8"/>
      <c r="K80" s="236">
        <v>69585000</v>
      </c>
      <c r="L80" s="235">
        <v>15007000</v>
      </c>
    </row>
    <row r="81" spans="1:12" ht="14.1" customHeight="1" x14ac:dyDescent="0.2">
      <c r="A81" s="327" t="s">
        <v>1574</v>
      </c>
      <c r="B81" s="328"/>
      <c r="C81" s="328"/>
      <c r="D81" s="328"/>
      <c r="E81" s="328"/>
      <c r="F81" s="328"/>
      <c r="G81" s="328"/>
      <c r="H81" s="329"/>
      <c r="I81" s="4">
        <v>71</v>
      </c>
      <c r="J81" s="8"/>
      <c r="K81" s="236">
        <v>17566000</v>
      </c>
      <c r="L81" s="235">
        <v>-15349000</v>
      </c>
    </row>
    <row r="82" spans="1:12" ht="14.1" customHeight="1" x14ac:dyDescent="0.2">
      <c r="A82" s="327" t="s">
        <v>1575</v>
      </c>
      <c r="B82" s="328"/>
      <c r="C82" s="328"/>
      <c r="D82" s="328"/>
      <c r="E82" s="328"/>
      <c r="F82" s="328"/>
      <c r="G82" s="328"/>
      <c r="H82" s="329"/>
      <c r="I82" s="4">
        <v>72</v>
      </c>
      <c r="J82" s="8"/>
      <c r="K82" s="236">
        <v>177864000</v>
      </c>
      <c r="L82" s="235">
        <v>258527000</v>
      </c>
    </row>
    <row r="83" spans="1:12" ht="14.1" customHeight="1" x14ac:dyDescent="0.2">
      <c r="A83" s="327" t="s">
        <v>1576</v>
      </c>
      <c r="B83" s="328"/>
      <c r="C83" s="328"/>
      <c r="D83" s="328"/>
      <c r="E83" s="328"/>
      <c r="F83" s="328"/>
      <c r="G83" s="328"/>
      <c r="H83" s="329"/>
      <c r="I83" s="4">
        <v>73</v>
      </c>
      <c r="J83" s="8"/>
      <c r="K83" s="236">
        <v>0</v>
      </c>
      <c r="L83" s="235">
        <v>0</v>
      </c>
    </row>
    <row r="84" spans="1:12" ht="14.1" customHeight="1" x14ac:dyDescent="0.2">
      <c r="A84" s="327" t="s">
        <v>1027</v>
      </c>
      <c r="B84" s="328"/>
      <c r="C84" s="328"/>
      <c r="D84" s="328"/>
      <c r="E84" s="328"/>
      <c r="F84" s="328"/>
      <c r="G84" s="328"/>
      <c r="H84" s="329"/>
      <c r="I84" s="4">
        <v>74</v>
      </c>
      <c r="J84" s="8"/>
      <c r="K84" s="236">
        <v>15831000</v>
      </c>
      <c r="L84" s="235">
        <v>6424000</v>
      </c>
    </row>
    <row r="85" spans="1:12" ht="14.1" customHeight="1" x14ac:dyDescent="0.2">
      <c r="A85" s="327" t="s">
        <v>1028</v>
      </c>
      <c r="B85" s="328"/>
      <c r="C85" s="328"/>
      <c r="D85" s="328"/>
      <c r="E85" s="328"/>
      <c r="F85" s="328"/>
      <c r="G85" s="328"/>
      <c r="H85" s="329"/>
      <c r="I85" s="4">
        <v>75</v>
      </c>
      <c r="J85" s="8"/>
      <c r="K85" s="236">
        <v>0</v>
      </c>
      <c r="L85" s="235">
        <v>0</v>
      </c>
    </row>
    <row r="86" spans="1:12" ht="14.1" customHeight="1" x14ac:dyDescent="0.2">
      <c r="A86" s="327" t="s">
        <v>1029</v>
      </c>
      <c r="B86" s="328"/>
      <c r="C86" s="328"/>
      <c r="D86" s="328"/>
      <c r="E86" s="328"/>
      <c r="F86" s="328"/>
      <c r="G86" s="328"/>
      <c r="H86" s="329"/>
      <c r="I86" s="4">
        <v>76</v>
      </c>
      <c r="J86" s="8"/>
      <c r="K86" s="236">
        <v>0</v>
      </c>
      <c r="L86" s="235">
        <v>34601000</v>
      </c>
    </row>
    <row r="87" spans="1:12" ht="14.1" customHeight="1" x14ac:dyDescent="0.2">
      <c r="A87" s="330" t="s">
        <v>1030</v>
      </c>
      <c r="B87" s="331"/>
      <c r="C87" s="331"/>
      <c r="D87" s="331"/>
      <c r="E87" s="331"/>
      <c r="F87" s="331"/>
      <c r="G87" s="331"/>
      <c r="H87" s="332"/>
      <c r="I87" s="4">
        <v>77</v>
      </c>
      <c r="J87" s="8"/>
      <c r="K87" s="59">
        <f>SUM(K88:K90)</f>
        <v>25365000</v>
      </c>
      <c r="L87" s="67">
        <f>SUM(L88:L90)</f>
        <v>35073000</v>
      </c>
    </row>
    <row r="88" spans="1:12" ht="14.1" customHeight="1" x14ac:dyDescent="0.2">
      <c r="A88" s="324" t="s">
        <v>1395</v>
      </c>
      <c r="B88" s="325"/>
      <c r="C88" s="325"/>
      <c r="D88" s="325"/>
      <c r="E88" s="325"/>
      <c r="F88" s="325"/>
      <c r="G88" s="325"/>
      <c r="H88" s="326"/>
      <c r="I88" s="4">
        <v>78</v>
      </c>
      <c r="J88" s="8"/>
      <c r="K88" s="236">
        <v>21002000</v>
      </c>
      <c r="L88" s="235">
        <v>22417000</v>
      </c>
    </row>
    <row r="89" spans="1:12" ht="14.1" customHeight="1" x14ac:dyDescent="0.2">
      <c r="A89" s="324" t="s">
        <v>1396</v>
      </c>
      <c r="B89" s="325"/>
      <c r="C89" s="325"/>
      <c r="D89" s="325"/>
      <c r="E89" s="325"/>
      <c r="F89" s="325"/>
      <c r="G89" s="325"/>
      <c r="H89" s="326"/>
      <c r="I89" s="4">
        <v>79</v>
      </c>
      <c r="J89" s="8"/>
      <c r="K89" s="236"/>
      <c r="L89" s="235">
        <v>7886000</v>
      </c>
    </row>
    <row r="90" spans="1:12" ht="14.1" customHeight="1" x14ac:dyDescent="0.2">
      <c r="A90" s="324" t="s">
        <v>1397</v>
      </c>
      <c r="B90" s="325"/>
      <c r="C90" s="325"/>
      <c r="D90" s="325"/>
      <c r="E90" s="325"/>
      <c r="F90" s="325"/>
      <c r="G90" s="325"/>
      <c r="H90" s="326"/>
      <c r="I90" s="4">
        <v>80</v>
      </c>
      <c r="J90" s="8"/>
      <c r="K90" s="236">
        <v>4363000</v>
      </c>
      <c r="L90" s="235">
        <v>4770000</v>
      </c>
    </row>
    <row r="91" spans="1:12" ht="14.1" customHeight="1" x14ac:dyDescent="0.2">
      <c r="A91" s="330" t="s">
        <v>1031</v>
      </c>
      <c r="B91" s="331"/>
      <c r="C91" s="331"/>
      <c r="D91" s="331"/>
      <c r="E91" s="331"/>
      <c r="F91" s="331"/>
      <c r="G91" s="331"/>
      <c r="H91" s="332"/>
      <c r="I91" s="4">
        <v>81</v>
      </c>
      <c r="J91" s="8"/>
      <c r="K91" s="59">
        <f>SUM(K92:K99)</f>
        <v>455428000</v>
      </c>
      <c r="L91" s="67">
        <f>SUM(L92:L99)</f>
        <v>918308000</v>
      </c>
    </row>
    <row r="92" spans="1:12" ht="14.1" customHeight="1" x14ac:dyDescent="0.2">
      <c r="A92" s="324" t="s">
        <v>1398</v>
      </c>
      <c r="B92" s="325"/>
      <c r="C92" s="325"/>
      <c r="D92" s="325"/>
      <c r="E92" s="325"/>
      <c r="F92" s="325"/>
      <c r="G92" s="325"/>
      <c r="H92" s="326"/>
      <c r="I92" s="4">
        <v>82</v>
      </c>
      <c r="J92" s="8"/>
      <c r="K92" s="236">
        <v>0</v>
      </c>
      <c r="L92" s="235">
        <v>0</v>
      </c>
    </row>
    <row r="93" spans="1:12" ht="14.1" customHeight="1" x14ac:dyDescent="0.2">
      <c r="A93" s="324" t="s">
        <v>1399</v>
      </c>
      <c r="B93" s="325"/>
      <c r="C93" s="325"/>
      <c r="D93" s="325"/>
      <c r="E93" s="325"/>
      <c r="F93" s="325"/>
      <c r="G93" s="325"/>
      <c r="H93" s="326"/>
      <c r="I93" s="4">
        <v>83</v>
      </c>
      <c r="J93" s="8"/>
      <c r="K93" s="236">
        <v>0</v>
      </c>
      <c r="L93" s="235">
        <v>0</v>
      </c>
    </row>
    <row r="94" spans="1:12" ht="14.1" customHeight="1" x14ac:dyDescent="0.2">
      <c r="A94" s="324" t="s">
        <v>1104</v>
      </c>
      <c r="B94" s="325"/>
      <c r="C94" s="325"/>
      <c r="D94" s="325"/>
      <c r="E94" s="325"/>
      <c r="F94" s="325"/>
      <c r="G94" s="325"/>
      <c r="H94" s="326"/>
      <c r="I94" s="4">
        <v>84</v>
      </c>
      <c r="J94" s="8"/>
      <c r="K94" s="236">
        <v>101267000</v>
      </c>
      <c r="L94" s="235">
        <v>599397000</v>
      </c>
    </row>
    <row r="95" spans="1:12" ht="14.1" customHeight="1" x14ac:dyDescent="0.2">
      <c r="A95" s="324" t="s">
        <v>1400</v>
      </c>
      <c r="B95" s="325"/>
      <c r="C95" s="325"/>
      <c r="D95" s="325"/>
      <c r="E95" s="325"/>
      <c r="F95" s="325"/>
      <c r="G95" s="325"/>
      <c r="H95" s="326"/>
      <c r="I95" s="4">
        <v>85</v>
      </c>
      <c r="J95" s="8"/>
      <c r="K95" s="236">
        <v>0</v>
      </c>
      <c r="L95" s="235">
        <v>0</v>
      </c>
    </row>
    <row r="96" spans="1:12" ht="14.1" customHeight="1" x14ac:dyDescent="0.2">
      <c r="A96" s="324" t="s">
        <v>1401</v>
      </c>
      <c r="B96" s="325"/>
      <c r="C96" s="325"/>
      <c r="D96" s="325"/>
      <c r="E96" s="325"/>
      <c r="F96" s="325"/>
      <c r="G96" s="325"/>
      <c r="H96" s="326"/>
      <c r="I96" s="4">
        <v>86</v>
      </c>
      <c r="J96" s="8"/>
      <c r="K96" s="236">
        <v>0</v>
      </c>
      <c r="L96" s="235">
        <v>0</v>
      </c>
    </row>
    <row r="97" spans="1:12" ht="14.1" customHeight="1" x14ac:dyDescent="0.2">
      <c r="A97" s="324" t="s">
        <v>1402</v>
      </c>
      <c r="B97" s="325"/>
      <c r="C97" s="325"/>
      <c r="D97" s="325"/>
      <c r="E97" s="325"/>
      <c r="F97" s="325"/>
      <c r="G97" s="325"/>
      <c r="H97" s="326"/>
      <c r="I97" s="4">
        <v>87</v>
      </c>
      <c r="J97" s="8"/>
      <c r="K97" s="236">
        <v>354161000</v>
      </c>
      <c r="L97" s="235">
        <v>318911000</v>
      </c>
    </row>
    <row r="98" spans="1:12" ht="14.1" customHeight="1" x14ac:dyDescent="0.2">
      <c r="A98" s="324" t="s">
        <v>1403</v>
      </c>
      <c r="B98" s="325"/>
      <c r="C98" s="325"/>
      <c r="D98" s="325"/>
      <c r="E98" s="325"/>
      <c r="F98" s="325"/>
      <c r="G98" s="325"/>
      <c r="H98" s="326"/>
      <c r="I98" s="4">
        <v>88</v>
      </c>
      <c r="J98" s="8"/>
      <c r="K98" s="236">
        <v>0</v>
      </c>
      <c r="L98" s="235">
        <v>0</v>
      </c>
    </row>
    <row r="99" spans="1:12" ht="14.1" customHeight="1" x14ac:dyDescent="0.2">
      <c r="A99" s="324" t="s">
        <v>1404</v>
      </c>
      <c r="B99" s="325"/>
      <c r="C99" s="325"/>
      <c r="D99" s="325"/>
      <c r="E99" s="325"/>
      <c r="F99" s="325"/>
      <c r="G99" s="325"/>
      <c r="H99" s="326"/>
      <c r="I99" s="4">
        <v>89</v>
      </c>
      <c r="J99" s="8"/>
      <c r="K99" s="236">
        <v>0</v>
      </c>
      <c r="L99" s="235">
        <v>0</v>
      </c>
    </row>
    <row r="100" spans="1:12" ht="14.1" customHeight="1" x14ac:dyDescent="0.2">
      <c r="A100" s="330" t="s">
        <v>1032</v>
      </c>
      <c r="B100" s="331"/>
      <c r="C100" s="331"/>
      <c r="D100" s="331"/>
      <c r="E100" s="331"/>
      <c r="F100" s="331"/>
      <c r="G100" s="331"/>
      <c r="H100" s="332"/>
      <c r="I100" s="4">
        <v>90</v>
      </c>
      <c r="J100" s="8"/>
      <c r="K100" s="59">
        <f>SUM(K101:K111)</f>
        <v>1339415000</v>
      </c>
      <c r="L100" s="67">
        <f>SUM(L101:L111)</f>
        <v>1523089000</v>
      </c>
    </row>
    <row r="101" spans="1:12" ht="14.1" customHeight="1" x14ac:dyDescent="0.2">
      <c r="A101" s="324" t="s">
        <v>1398</v>
      </c>
      <c r="B101" s="325"/>
      <c r="C101" s="325"/>
      <c r="D101" s="325"/>
      <c r="E101" s="325"/>
      <c r="F101" s="325"/>
      <c r="G101" s="325"/>
      <c r="H101" s="326"/>
      <c r="I101" s="4">
        <v>91</v>
      </c>
      <c r="J101" s="8"/>
      <c r="K101" s="236">
        <v>0</v>
      </c>
      <c r="L101" s="235">
        <v>0</v>
      </c>
    </row>
    <row r="102" spans="1:12" ht="14.1" customHeight="1" x14ac:dyDescent="0.2">
      <c r="A102" s="324" t="s">
        <v>1399</v>
      </c>
      <c r="B102" s="325"/>
      <c r="C102" s="325"/>
      <c r="D102" s="325"/>
      <c r="E102" s="325"/>
      <c r="F102" s="325"/>
      <c r="G102" s="325"/>
      <c r="H102" s="326"/>
      <c r="I102" s="4">
        <v>92</v>
      </c>
      <c r="J102" s="8"/>
      <c r="K102" s="236">
        <v>0</v>
      </c>
      <c r="L102" s="235">
        <v>0</v>
      </c>
    </row>
    <row r="103" spans="1:12" ht="14.1" customHeight="1" x14ac:dyDescent="0.2">
      <c r="A103" s="324" t="s">
        <v>1104</v>
      </c>
      <c r="B103" s="325"/>
      <c r="C103" s="325"/>
      <c r="D103" s="325"/>
      <c r="E103" s="325"/>
      <c r="F103" s="325"/>
      <c r="G103" s="325"/>
      <c r="H103" s="326"/>
      <c r="I103" s="4">
        <v>93</v>
      </c>
      <c r="J103" s="8"/>
      <c r="K103" s="236">
        <v>723056000</v>
      </c>
      <c r="L103" s="235">
        <v>728072000</v>
      </c>
    </row>
    <row r="104" spans="1:12" ht="14.1" customHeight="1" x14ac:dyDescent="0.2">
      <c r="A104" s="324" t="s">
        <v>1400</v>
      </c>
      <c r="B104" s="325"/>
      <c r="C104" s="325"/>
      <c r="D104" s="325"/>
      <c r="E104" s="325"/>
      <c r="F104" s="325"/>
      <c r="G104" s="325"/>
      <c r="H104" s="326"/>
      <c r="I104" s="4">
        <v>94</v>
      </c>
      <c r="J104" s="8"/>
      <c r="K104" s="236">
        <v>1003000</v>
      </c>
      <c r="L104" s="235">
        <v>1203000</v>
      </c>
    </row>
    <row r="105" spans="1:12" ht="14.1" customHeight="1" x14ac:dyDescent="0.2">
      <c r="A105" s="324" t="s">
        <v>1401</v>
      </c>
      <c r="B105" s="325"/>
      <c r="C105" s="325"/>
      <c r="D105" s="325"/>
      <c r="E105" s="325"/>
      <c r="F105" s="325"/>
      <c r="G105" s="325"/>
      <c r="H105" s="326"/>
      <c r="I105" s="4">
        <v>95</v>
      </c>
      <c r="J105" s="8"/>
      <c r="K105" s="236">
        <v>492648000</v>
      </c>
      <c r="L105" s="235">
        <v>547791000</v>
      </c>
    </row>
    <row r="106" spans="1:12" ht="14.1" customHeight="1" x14ac:dyDescent="0.2">
      <c r="A106" s="324" t="s">
        <v>1402</v>
      </c>
      <c r="B106" s="325"/>
      <c r="C106" s="325"/>
      <c r="D106" s="325"/>
      <c r="E106" s="325"/>
      <c r="F106" s="325"/>
      <c r="G106" s="325"/>
      <c r="H106" s="326"/>
      <c r="I106" s="4">
        <v>96</v>
      </c>
      <c r="J106" s="8"/>
      <c r="K106" s="236">
        <v>0</v>
      </c>
      <c r="L106" s="235">
        <v>138592000</v>
      </c>
    </row>
    <row r="107" spans="1:12" ht="14.1" customHeight="1" x14ac:dyDescent="0.2">
      <c r="A107" s="324" t="s">
        <v>1405</v>
      </c>
      <c r="B107" s="325"/>
      <c r="C107" s="325"/>
      <c r="D107" s="325"/>
      <c r="E107" s="325"/>
      <c r="F107" s="325"/>
      <c r="G107" s="325"/>
      <c r="H107" s="326"/>
      <c r="I107" s="4">
        <v>97</v>
      </c>
      <c r="J107" s="8"/>
      <c r="K107" s="236">
        <v>62643000</v>
      </c>
      <c r="L107" s="235">
        <v>62571000</v>
      </c>
    </row>
    <row r="108" spans="1:12" ht="14.1" customHeight="1" x14ac:dyDescent="0.2">
      <c r="A108" s="324" t="s">
        <v>1406</v>
      </c>
      <c r="B108" s="325"/>
      <c r="C108" s="325"/>
      <c r="D108" s="325"/>
      <c r="E108" s="325"/>
      <c r="F108" s="325"/>
      <c r="G108" s="325"/>
      <c r="H108" s="326"/>
      <c r="I108" s="4">
        <v>98</v>
      </c>
      <c r="J108" s="8"/>
      <c r="K108" s="236">
        <v>8392000</v>
      </c>
      <c r="L108" s="235">
        <v>14191000</v>
      </c>
    </row>
    <row r="109" spans="1:12" ht="14.1" customHeight="1" x14ac:dyDescent="0.2">
      <c r="A109" s="324" t="s">
        <v>1407</v>
      </c>
      <c r="B109" s="325"/>
      <c r="C109" s="325"/>
      <c r="D109" s="325"/>
      <c r="E109" s="325"/>
      <c r="F109" s="325"/>
      <c r="G109" s="325"/>
      <c r="H109" s="326"/>
      <c r="I109" s="4">
        <v>99</v>
      </c>
      <c r="J109" s="8"/>
      <c r="K109" s="236">
        <v>1807000</v>
      </c>
      <c r="L109" s="235">
        <v>1775000</v>
      </c>
    </row>
    <row r="110" spans="1:12" ht="14.1" customHeight="1" x14ac:dyDescent="0.2">
      <c r="A110" s="324" t="s">
        <v>1415</v>
      </c>
      <c r="B110" s="325"/>
      <c r="C110" s="325"/>
      <c r="D110" s="325"/>
      <c r="E110" s="325"/>
      <c r="F110" s="325"/>
      <c r="G110" s="325"/>
      <c r="H110" s="326"/>
      <c r="I110" s="4">
        <v>100</v>
      </c>
      <c r="J110" s="8"/>
      <c r="K110" s="236">
        <v>0</v>
      </c>
      <c r="L110" s="235">
        <v>0</v>
      </c>
    </row>
    <row r="111" spans="1:12" ht="14.1" customHeight="1" x14ac:dyDescent="0.2">
      <c r="A111" s="324" t="s">
        <v>1408</v>
      </c>
      <c r="B111" s="325"/>
      <c r="C111" s="325"/>
      <c r="D111" s="325"/>
      <c r="E111" s="325"/>
      <c r="F111" s="325"/>
      <c r="G111" s="325"/>
      <c r="H111" s="326"/>
      <c r="I111" s="4">
        <v>101</v>
      </c>
      <c r="J111" s="8"/>
      <c r="K111" s="236">
        <v>49866000</v>
      </c>
      <c r="L111" s="235">
        <v>28894000</v>
      </c>
    </row>
    <row r="112" spans="1:12" ht="14.1" customHeight="1" x14ac:dyDescent="0.2">
      <c r="A112" s="330" t="s">
        <v>1105</v>
      </c>
      <c r="B112" s="331"/>
      <c r="C112" s="331"/>
      <c r="D112" s="331"/>
      <c r="E112" s="331"/>
      <c r="F112" s="331"/>
      <c r="G112" s="331"/>
      <c r="H112" s="332"/>
      <c r="I112" s="4">
        <v>102</v>
      </c>
      <c r="J112" s="8"/>
      <c r="K112" s="236">
        <v>81093000</v>
      </c>
      <c r="L112" s="235">
        <v>89869000</v>
      </c>
    </row>
    <row r="113" spans="1:12" ht="14.1" customHeight="1" x14ac:dyDescent="0.2">
      <c r="A113" s="330" t="s">
        <v>1409</v>
      </c>
      <c r="B113" s="331"/>
      <c r="C113" s="331"/>
      <c r="D113" s="331"/>
      <c r="E113" s="331"/>
      <c r="F113" s="331"/>
      <c r="G113" s="331"/>
      <c r="H113" s="332"/>
      <c r="I113" s="4">
        <v>103</v>
      </c>
      <c r="J113" s="8"/>
      <c r="K113" s="59">
        <f>K72+K87+K91+K100+K112</f>
        <v>3844535000</v>
      </c>
      <c r="L113" s="67">
        <f>L72+L87+L91+L100+L112</f>
        <v>4517096000</v>
      </c>
    </row>
    <row r="114" spans="1:12" ht="14.1" customHeight="1" x14ac:dyDescent="0.2">
      <c r="A114" s="370" t="s">
        <v>2436</v>
      </c>
      <c r="B114" s="371"/>
      <c r="C114" s="371"/>
      <c r="D114" s="371"/>
      <c r="E114" s="371"/>
      <c r="F114" s="371"/>
      <c r="G114" s="371"/>
      <c r="H114" s="372"/>
      <c r="I114" s="5">
        <v>104</v>
      </c>
      <c r="J114" s="8"/>
      <c r="K114" s="58"/>
      <c r="L114" s="68"/>
    </row>
    <row r="115" spans="1:12" ht="14.1" customHeight="1" x14ac:dyDescent="0.2">
      <c r="A115" s="346" t="s">
        <v>2254</v>
      </c>
      <c r="B115" s="347"/>
      <c r="C115" s="347"/>
      <c r="D115" s="347"/>
      <c r="E115" s="347"/>
      <c r="F115" s="347"/>
      <c r="G115" s="347"/>
      <c r="H115" s="347"/>
      <c r="I115" s="348"/>
      <c r="J115" s="348"/>
      <c r="K115" s="348"/>
      <c r="L115" s="349"/>
    </row>
    <row r="116" spans="1:12" ht="14.1" customHeight="1" x14ac:dyDescent="0.2">
      <c r="A116" s="366" t="s">
        <v>1033</v>
      </c>
      <c r="B116" s="367"/>
      <c r="C116" s="367"/>
      <c r="D116" s="367"/>
      <c r="E116" s="367"/>
      <c r="F116" s="367"/>
      <c r="G116" s="367"/>
      <c r="H116" s="367"/>
      <c r="I116" s="368"/>
      <c r="J116" s="368"/>
      <c r="K116" s="368"/>
      <c r="L116" s="369"/>
    </row>
    <row r="117" spans="1:12" ht="14.1" customHeight="1" x14ac:dyDescent="0.2">
      <c r="A117" s="327" t="s">
        <v>1034</v>
      </c>
      <c r="B117" s="328"/>
      <c r="C117" s="328"/>
      <c r="D117" s="328"/>
      <c r="E117" s="328"/>
      <c r="F117" s="328"/>
      <c r="G117" s="328"/>
      <c r="H117" s="329"/>
      <c r="I117" s="13">
        <v>105</v>
      </c>
      <c r="J117" s="10"/>
      <c r="K117" s="69">
        <v>1943234000</v>
      </c>
      <c r="L117" s="68">
        <v>1916156000</v>
      </c>
    </row>
    <row r="118" spans="1:12" ht="14.1" customHeight="1" x14ac:dyDescent="0.2">
      <c r="A118" s="358" t="s">
        <v>1035</v>
      </c>
      <c r="B118" s="359"/>
      <c r="C118" s="359"/>
      <c r="D118" s="359"/>
      <c r="E118" s="359"/>
      <c r="F118" s="359"/>
      <c r="G118" s="359"/>
      <c r="H118" s="360"/>
      <c r="I118" s="16">
        <v>106</v>
      </c>
      <c r="J118" s="11"/>
      <c r="K118" s="70">
        <v>0</v>
      </c>
      <c r="L118" s="71">
        <v>34601000</v>
      </c>
    </row>
    <row r="119" spans="1:12" ht="5.0999999999999996" customHeight="1" x14ac:dyDescent="0.2"/>
  </sheetData>
  <sheetProtection password="C79A" sheet="1" objects="1"/>
  <mergeCells count="117">
    <mergeCell ref="A117:H117"/>
    <mergeCell ref="A118:H118"/>
    <mergeCell ref="A71:L71"/>
    <mergeCell ref="A70:H70"/>
    <mergeCell ref="A72:H72"/>
    <mergeCell ref="A73:H73"/>
    <mergeCell ref="A116:L116"/>
    <mergeCell ref="A112:H112"/>
    <mergeCell ref="A113:H113"/>
    <mergeCell ref="A114:H114"/>
    <mergeCell ref="A115:L115"/>
    <mergeCell ref="A1:B2"/>
    <mergeCell ref="L3:L4"/>
    <mergeCell ref="A3:K3"/>
    <mergeCell ref="A4:K4"/>
    <mergeCell ref="A108:H108"/>
    <mergeCell ref="A109:H109"/>
    <mergeCell ref="A110:H110"/>
    <mergeCell ref="A111:H111"/>
    <mergeCell ref="A104:H104"/>
    <mergeCell ref="A98:H98"/>
    <mergeCell ref="A99:H99"/>
    <mergeCell ref="A105:H105"/>
    <mergeCell ref="A106:H106"/>
    <mergeCell ref="A107:H107"/>
    <mergeCell ref="A100:H100"/>
    <mergeCell ref="A101:H101"/>
    <mergeCell ref="A102:H102"/>
    <mergeCell ref="A103:H103"/>
    <mergeCell ref="A92:H92"/>
    <mergeCell ref="A93:H93"/>
    <mergeCell ref="A94:H94"/>
    <mergeCell ref="A95:H95"/>
    <mergeCell ref="A96:H96"/>
    <mergeCell ref="A97:H97"/>
    <mergeCell ref="A86:H86"/>
    <mergeCell ref="A87:H87"/>
    <mergeCell ref="A88:H88"/>
    <mergeCell ref="A89:H89"/>
    <mergeCell ref="A90:H90"/>
    <mergeCell ref="A91:H91"/>
    <mergeCell ref="A80:H80"/>
    <mergeCell ref="A81:H81"/>
    <mergeCell ref="A82:H82"/>
    <mergeCell ref="A83:H83"/>
    <mergeCell ref="A84:H84"/>
    <mergeCell ref="A85:H85"/>
    <mergeCell ref="A10:H10"/>
    <mergeCell ref="A11:H11"/>
    <mergeCell ref="A12:H12"/>
    <mergeCell ref="A13:H13"/>
    <mergeCell ref="A6:L6"/>
    <mergeCell ref="A7:H7"/>
    <mergeCell ref="A8:H8"/>
    <mergeCell ref="A9:L9"/>
    <mergeCell ref="A18:H18"/>
    <mergeCell ref="A19:H19"/>
    <mergeCell ref="A20:H20"/>
    <mergeCell ref="A21:H21"/>
    <mergeCell ref="A14:H14"/>
    <mergeCell ref="A15:H15"/>
    <mergeCell ref="A16:H16"/>
    <mergeCell ref="A17:H17"/>
    <mergeCell ref="A26:H26"/>
    <mergeCell ref="A27:H27"/>
    <mergeCell ref="A28:H28"/>
    <mergeCell ref="A29:H29"/>
    <mergeCell ref="A22:H22"/>
    <mergeCell ref="A23:H23"/>
    <mergeCell ref="A24:H24"/>
    <mergeCell ref="A25:H25"/>
    <mergeCell ref="A34:H34"/>
    <mergeCell ref="A35:H35"/>
    <mergeCell ref="A36:H36"/>
    <mergeCell ref="A37:H37"/>
    <mergeCell ref="A30:H30"/>
    <mergeCell ref="A31:H31"/>
    <mergeCell ref="A32:H32"/>
    <mergeCell ref="A33:H33"/>
    <mergeCell ref="A42:H42"/>
    <mergeCell ref="A43:H43"/>
    <mergeCell ref="A44:H44"/>
    <mergeCell ref="A45:H45"/>
    <mergeCell ref="A38:H38"/>
    <mergeCell ref="A39:H39"/>
    <mergeCell ref="A40:H40"/>
    <mergeCell ref="A41:H41"/>
    <mergeCell ref="A50:H50"/>
    <mergeCell ref="A51:H51"/>
    <mergeCell ref="A52:H52"/>
    <mergeCell ref="A53:H53"/>
    <mergeCell ref="A46:H46"/>
    <mergeCell ref="A47:H47"/>
    <mergeCell ref="A48:H48"/>
    <mergeCell ref="A49:H49"/>
    <mergeCell ref="A58:H58"/>
    <mergeCell ref="A59:H59"/>
    <mergeCell ref="A60:H60"/>
    <mergeCell ref="A61:H61"/>
    <mergeCell ref="A54:H54"/>
    <mergeCell ref="A55:H55"/>
    <mergeCell ref="A56:H56"/>
    <mergeCell ref="A57:H57"/>
    <mergeCell ref="A68:H68"/>
    <mergeCell ref="A69:H69"/>
    <mergeCell ref="A62:H62"/>
    <mergeCell ref="A63:H63"/>
    <mergeCell ref="A64:H64"/>
    <mergeCell ref="A65:H65"/>
    <mergeCell ref="A66:H66"/>
    <mergeCell ref="A67:H67"/>
    <mergeCell ref="A78:H78"/>
    <mergeCell ref="A79:H79"/>
    <mergeCell ref="A74:H74"/>
    <mergeCell ref="A75:H75"/>
    <mergeCell ref="A76:H76"/>
    <mergeCell ref="A77:H77"/>
  </mergeCells>
  <phoneticPr fontId="2" type="noConversion"/>
  <dataValidations count="3">
    <dataValidation type="whole" operator="greaterThanOrEqual" allowBlank="1" showInputMessage="1" showErrorMessage="1" errorTitle="Pogrešan unos" error="Mogu se unijeti samo cjelobrojne pozitivne vrijednosti." sqref="K117:L118 K10:L70 K72:L80 K82:L114">
      <formula1>0</formula1>
    </dataValidation>
    <dataValidation type="textLength" operator="lessThan" allowBlank="1" showInputMessage="1" showErrorMessage="1" errorTitle="Redni broj bilješke" error="Redni broj bilješke mora biti text duljine najviše 10 znakova." sqref="J10:J70 J72:J114 J117:J118">
      <formula1>10</formula1>
    </dataValidation>
    <dataValidation type="whole" operator="notEqual" allowBlank="1" showInputMessage="1" showErrorMessage="1" errorTitle="Pogrešan unos" error="Mogu se unijeti samo cjelobrojne vrijednosti. Ova AOP oznaka može se unijeti i s negativnim predznakom" sqref="K81:L81">
      <formula1>9999999999</formula1>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5118110236220474" right="0.55118110236220474" top="0.59055118110236227" bottom="0.78740157480314965" header="0.39370078740157483" footer="0.59055118110236227"/>
  <pageSetup paperSize="9" scale="86" fitToHeight="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R56"/>
  <sheetViews>
    <sheetView showGridLines="0" showRowColHeaders="0" workbookViewId="0">
      <pane ySplit="8" topLeftCell="A9" activePane="bottomLeft" state="frozen"/>
      <selection activeCell="J109" sqref="J109"/>
      <selection pane="bottomLeft" activeCell="A9" sqref="A9:H9"/>
    </sheetView>
  </sheetViews>
  <sheetFormatPr defaultColWidth="0" defaultRowHeight="12.75" zeroHeight="1" x14ac:dyDescent="0.2"/>
  <cols>
    <col min="1" max="10" width="7.7109375" customWidth="1"/>
    <col min="11" max="12" width="14.7109375" customWidth="1"/>
    <col min="13" max="13" width="0.85546875" customWidth="1"/>
    <col min="14" max="14" width="9.140625" hidden="1" customWidth="1"/>
    <col min="15" max="15" width="8.7109375" hidden="1" customWidth="1"/>
    <col min="16" max="16" width="9.42578125" style="12" hidden="1" customWidth="1"/>
    <col min="17" max="17" width="9.140625" style="12" hidden="1" customWidth="1"/>
  </cols>
  <sheetData>
    <row r="1" spans="1:18" ht="20.100000000000001" customHeight="1" x14ac:dyDescent="0.2">
      <c r="A1" s="312" t="s">
        <v>559</v>
      </c>
      <c r="B1" s="313"/>
      <c r="C1" s="126" t="s">
        <v>95</v>
      </c>
      <c r="D1" s="123" t="s">
        <v>560</v>
      </c>
      <c r="E1" s="123" t="s">
        <v>1410</v>
      </c>
      <c r="F1" s="144" t="s">
        <v>2177</v>
      </c>
      <c r="G1" s="123" t="s">
        <v>96</v>
      </c>
      <c r="H1" s="144" t="s">
        <v>97</v>
      </c>
      <c r="I1" s="123" t="s">
        <v>1411</v>
      </c>
      <c r="J1" s="124" t="s">
        <v>98</v>
      </c>
      <c r="K1" s="77"/>
      <c r="L1" s="3"/>
      <c r="M1" s="3"/>
      <c r="O1" s="3">
        <f>K44+L44+K45+L45+K48+L48+K52+L52+K53+L53+K54+L54+K55+L55</f>
        <v>3376551000</v>
      </c>
      <c r="P1" s="36">
        <f>K44+K45+K48+K52+K53+K54+K55</f>
        <v>1650445000</v>
      </c>
      <c r="Q1" s="36">
        <f>IF(SUM(K9:K50)&gt;0,1,0)-IF(SUM(K52:K55)&gt;0,1,0)</f>
        <v>1</v>
      </c>
      <c r="R1" s="36">
        <f>IF(SUM(L9:L50)&gt;0,1,0)-IF(SUM(L52:L55)&gt;0,1,0)</f>
        <v>0</v>
      </c>
    </row>
    <row r="2" spans="1:18" s="3" customFormat="1" ht="20.100000000000001" customHeight="1" thickBot="1" x14ac:dyDescent="0.25">
      <c r="A2" s="314"/>
      <c r="B2" s="315"/>
      <c r="C2" s="127" t="s">
        <v>1114</v>
      </c>
      <c r="D2" s="128" t="s">
        <v>1413</v>
      </c>
      <c r="E2" s="128" t="s">
        <v>1115</v>
      </c>
      <c r="F2" s="128" t="s">
        <v>1412</v>
      </c>
      <c r="G2" s="128" t="s">
        <v>99</v>
      </c>
      <c r="H2" s="128" t="s">
        <v>1116</v>
      </c>
      <c r="I2" s="129" t="s">
        <v>100</v>
      </c>
      <c r="J2" s="125"/>
      <c r="K2" s="29"/>
      <c r="L2"/>
      <c r="M2"/>
      <c r="P2" s="36">
        <f>L44+L45+L48+L52+L53+L54+L55</f>
        <v>1726106000</v>
      </c>
      <c r="Q2" s="3">
        <f>IF(SUM(K52:K55)&gt;0,1,0)</f>
        <v>0</v>
      </c>
      <c r="R2" s="3">
        <f>IF(SUM(L52:L55)&gt;0,1,0)</f>
        <v>1</v>
      </c>
    </row>
    <row r="3" spans="1:18" s="3" customFormat="1" ht="20.100000000000001" customHeight="1" x14ac:dyDescent="0.2">
      <c r="A3" s="352" t="s">
        <v>2086</v>
      </c>
      <c r="B3" s="388"/>
      <c r="C3" s="388"/>
      <c r="D3" s="388"/>
      <c r="E3" s="388"/>
      <c r="F3" s="388"/>
      <c r="G3" s="388"/>
      <c r="H3" s="388"/>
      <c r="I3" s="388"/>
      <c r="J3" s="388"/>
      <c r="K3" s="389"/>
      <c r="L3" s="350" t="s">
        <v>2538</v>
      </c>
    </row>
    <row r="4" spans="1:18" s="3" customFormat="1" ht="20.100000000000001" customHeight="1" thickBot="1" x14ac:dyDescent="0.25">
      <c r="A4" s="355" t="str">
        <f xml:space="preserve"> "za razdoblje " &amp; IF(Opci!E5&lt;&gt;"", TEXT(Opci!E5, "DD.MM.YYYY."), "__.__.____.") &amp; " do " &amp; IF(Opci!H5&lt;&gt;"", TEXT(Opci!H5, "DD.MM.YYYY."),"__.__.____.")</f>
        <v>za razdoblje 01.01.2009. do 31.03.2009.</v>
      </c>
      <c r="B4" s="390"/>
      <c r="C4" s="390"/>
      <c r="D4" s="390"/>
      <c r="E4" s="390"/>
      <c r="F4" s="390"/>
      <c r="G4" s="390"/>
      <c r="H4" s="390"/>
      <c r="I4" s="390"/>
      <c r="J4" s="390"/>
      <c r="K4" s="391"/>
      <c r="L4" s="351"/>
    </row>
    <row r="5" spans="1:18" s="3" customFormat="1" ht="5.0999999999999996" customHeight="1" x14ac:dyDescent="0.2">
      <c r="A5" s="76"/>
      <c r="B5" s="78"/>
      <c r="C5" s="78"/>
      <c r="D5" s="78"/>
      <c r="E5" s="78"/>
      <c r="F5" s="78"/>
      <c r="G5" s="78"/>
      <c r="H5" s="78"/>
      <c r="I5" s="78"/>
      <c r="J5" s="78"/>
      <c r="K5" s="78"/>
      <c r="L5" s="79"/>
    </row>
    <row r="6" spans="1:18" s="3" customFormat="1" ht="20.100000000000001" customHeight="1" x14ac:dyDescent="0.2">
      <c r="A6" s="384" t="str">
        <f>"Obveznik: "&amp;IF(Opci!C19&lt;&gt;"",Opci!C19,"________") &amp; "; " &amp; IF(Opci!C25&lt;&gt;"",Opci!C25,"_____________________________________________________________"&amp;"; "&amp;IF(Opci!F27&lt;&gt;"",Opci!F27,"_______________"))</f>
        <v>Obveznik: 03454088; PODRAVKA GRUPA</v>
      </c>
      <c r="B6" s="385"/>
      <c r="C6" s="385"/>
      <c r="D6" s="385"/>
      <c r="E6" s="385"/>
      <c r="F6" s="385"/>
      <c r="G6" s="385"/>
      <c r="H6" s="385"/>
      <c r="I6" s="385"/>
      <c r="J6" s="385"/>
      <c r="K6" s="385"/>
      <c r="L6" s="386"/>
    </row>
    <row r="7" spans="1:18" s="3" customFormat="1" ht="24.75" customHeight="1" thickBot="1" x14ac:dyDescent="0.25">
      <c r="A7" s="387" t="s">
        <v>2618</v>
      </c>
      <c r="B7" s="387"/>
      <c r="C7" s="387"/>
      <c r="D7" s="387"/>
      <c r="E7" s="387"/>
      <c r="F7" s="387"/>
      <c r="G7" s="387"/>
      <c r="H7" s="387"/>
      <c r="I7" s="138" t="s">
        <v>101</v>
      </c>
      <c r="J7" s="138" t="s">
        <v>102</v>
      </c>
      <c r="K7" s="139" t="s">
        <v>898</v>
      </c>
      <c r="L7" s="139" t="s">
        <v>899</v>
      </c>
    </row>
    <row r="8" spans="1:18" s="3" customFormat="1" ht="13.5" customHeight="1" x14ac:dyDescent="0.2">
      <c r="A8" s="342">
        <v>1</v>
      </c>
      <c r="B8" s="342"/>
      <c r="C8" s="342"/>
      <c r="D8" s="342"/>
      <c r="E8" s="342"/>
      <c r="F8" s="342"/>
      <c r="G8" s="342"/>
      <c r="H8" s="342"/>
      <c r="I8" s="141">
        <v>2</v>
      </c>
      <c r="J8" s="141">
        <v>3</v>
      </c>
      <c r="K8" s="140">
        <v>4</v>
      </c>
      <c r="L8" s="140">
        <v>5</v>
      </c>
    </row>
    <row r="9" spans="1:18" s="3" customFormat="1" ht="14.1" customHeight="1" x14ac:dyDescent="0.2">
      <c r="A9" s="333" t="s">
        <v>2248</v>
      </c>
      <c r="B9" s="334"/>
      <c r="C9" s="334"/>
      <c r="D9" s="334"/>
      <c r="E9" s="334"/>
      <c r="F9" s="334"/>
      <c r="G9" s="334"/>
      <c r="H9" s="335"/>
      <c r="I9" s="6">
        <v>107</v>
      </c>
      <c r="J9" s="7"/>
      <c r="K9" s="94">
        <f>SUM(K10:K12)</f>
        <v>821480000</v>
      </c>
      <c r="L9" s="95">
        <f>SUM(L10:L12)</f>
        <v>846591000</v>
      </c>
    </row>
    <row r="10" spans="1:18" s="3" customFormat="1" ht="14.1" customHeight="1" x14ac:dyDescent="0.2">
      <c r="A10" s="330" t="s">
        <v>900</v>
      </c>
      <c r="B10" s="331"/>
      <c r="C10" s="331"/>
      <c r="D10" s="331"/>
      <c r="E10" s="331"/>
      <c r="F10" s="331"/>
      <c r="G10" s="331"/>
      <c r="H10" s="332"/>
      <c r="I10" s="4">
        <v>108</v>
      </c>
      <c r="J10" s="8"/>
      <c r="K10" s="233">
        <v>784118000</v>
      </c>
      <c r="L10" s="234">
        <v>798143000</v>
      </c>
    </row>
    <row r="11" spans="1:18" s="3" customFormat="1" ht="14.1" customHeight="1" x14ac:dyDescent="0.2">
      <c r="A11" s="330" t="s">
        <v>901</v>
      </c>
      <c r="B11" s="331"/>
      <c r="C11" s="331"/>
      <c r="D11" s="331"/>
      <c r="E11" s="331"/>
      <c r="F11" s="331"/>
      <c r="G11" s="331"/>
      <c r="H11" s="332"/>
      <c r="I11" s="4">
        <v>109</v>
      </c>
      <c r="J11" s="8"/>
      <c r="K11" s="233">
        <v>16851000</v>
      </c>
      <c r="L11" s="234">
        <v>14482000</v>
      </c>
    </row>
    <row r="12" spans="1:18" s="3" customFormat="1" ht="14.1" customHeight="1" x14ac:dyDescent="0.2">
      <c r="A12" s="330" t="s">
        <v>902</v>
      </c>
      <c r="B12" s="331"/>
      <c r="C12" s="331"/>
      <c r="D12" s="331"/>
      <c r="E12" s="331"/>
      <c r="F12" s="331"/>
      <c r="G12" s="331"/>
      <c r="H12" s="332"/>
      <c r="I12" s="4">
        <v>110</v>
      </c>
      <c r="J12" s="8"/>
      <c r="K12" s="233">
        <v>20511000</v>
      </c>
      <c r="L12" s="234">
        <v>33966000</v>
      </c>
    </row>
    <row r="13" spans="1:18" s="3" customFormat="1" ht="14.1" customHeight="1" x14ac:dyDescent="0.2">
      <c r="A13" s="330" t="s">
        <v>897</v>
      </c>
      <c r="B13" s="331"/>
      <c r="C13" s="331"/>
      <c r="D13" s="331"/>
      <c r="E13" s="331"/>
      <c r="F13" s="331"/>
      <c r="G13" s="331"/>
      <c r="H13" s="332"/>
      <c r="I13" s="4">
        <v>111</v>
      </c>
      <c r="J13" s="8"/>
      <c r="K13" s="59">
        <f>K14-K15+K16+K20+K24+K25+K26+K29+K30</f>
        <v>791249000</v>
      </c>
      <c r="L13" s="67">
        <f>L14-L15+L16+L20+L24+L25+L26+L29+L30</f>
        <v>793600000</v>
      </c>
    </row>
    <row r="14" spans="1:18" s="3" customFormat="1" ht="26.1" customHeight="1" x14ac:dyDescent="0.2">
      <c r="A14" s="330" t="s">
        <v>2251</v>
      </c>
      <c r="B14" s="331"/>
      <c r="C14" s="331"/>
      <c r="D14" s="331"/>
      <c r="E14" s="331"/>
      <c r="F14" s="331"/>
      <c r="G14" s="331"/>
      <c r="H14" s="332"/>
      <c r="I14" s="4">
        <v>112</v>
      </c>
      <c r="J14" s="8"/>
      <c r="K14" s="233">
        <v>0</v>
      </c>
      <c r="L14" s="234"/>
    </row>
    <row r="15" spans="1:18" s="3" customFormat="1" ht="26.1" customHeight="1" x14ac:dyDescent="0.2">
      <c r="A15" s="330" t="s">
        <v>2252</v>
      </c>
      <c r="B15" s="331"/>
      <c r="C15" s="331"/>
      <c r="D15" s="331"/>
      <c r="E15" s="331"/>
      <c r="F15" s="331"/>
      <c r="G15" s="331"/>
      <c r="H15" s="332"/>
      <c r="I15" s="4">
        <v>113</v>
      </c>
      <c r="J15" s="8"/>
      <c r="K15" s="233">
        <v>26759000</v>
      </c>
      <c r="L15" s="234">
        <v>23796000</v>
      </c>
    </row>
    <row r="16" spans="1:18" s="3" customFormat="1" ht="14.1" customHeight="1" x14ac:dyDescent="0.2">
      <c r="A16" s="330" t="s">
        <v>903</v>
      </c>
      <c r="B16" s="331"/>
      <c r="C16" s="331"/>
      <c r="D16" s="331"/>
      <c r="E16" s="331"/>
      <c r="F16" s="331"/>
      <c r="G16" s="331"/>
      <c r="H16" s="332"/>
      <c r="I16" s="4">
        <v>114</v>
      </c>
      <c r="J16" s="8"/>
      <c r="K16" s="59">
        <f>SUM(K17:K19)</f>
        <v>507268000</v>
      </c>
      <c r="L16" s="67">
        <f>SUM(L17:L19)</f>
        <v>495016000</v>
      </c>
    </row>
    <row r="17" spans="1:12" s="3" customFormat="1" ht="14.1" customHeight="1" x14ac:dyDescent="0.2">
      <c r="A17" s="324" t="s">
        <v>904</v>
      </c>
      <c r="B17" s="325"/>
      <c r="C17" s="325"/>
      <c r="D17" s="325"/>
      <c r="E17" s="325"/>
      <c r="F17" s="325"/>
      <c r="G17" s="325"/>
      <c r="H17" s="326"/>
      <c r="I17" s="4">
        <v>115</v>
      </c>
      <c r="J17" s="8"/>
      <c r="K17" s="233">
        <v>271826000</v>
      </c>
      <c r="L17" s="234">
        <v>292010000</v>
      </c>
    </row>
    <row r="18" spans="1:12" s="3" customFormat="1" ht="14.1" customHeight="1" x14ac:dyDescent="0.2">
      <c r="A18" s="324" t="s">
        <v>905</v>
      </c>
      <c r="B18" s="325"/>
      <c r="C18" s="325"/>
      <c r="D18" s="325"/>
      <c r="E18" s="325"/>
      <c r="F18" s="325"/>
      <c r="G18" s="325"/>
      <c r="H18" s="326"/>
      <c r="I18" s="4">
        <v>116</v>
      </c>
      <c r="J18" s="8"/>
      <c r="K18" s="233">
        <v>127636000</v>
      </c>
      <c r="L18" s="234">
        <v>111855000</v>
      </c>
    </row>
    <row r="19" spans="1:12" s="3" customFormat="1" ht="14.1" customHeight="1" x14ac:dyDescent="0.2">
      <c r="A19" s="324" t="s">
        <v>2623</v>
      </c>
      <c r="B19" s="325"/>
      <c r="C19" s="325"/>
      <c r="D19" s="325"/>
      <c r="E19" s="325"/>
      <c r="F19" s="325"/>
      <c r="G19" s="325"/>
      <c r="H19" s="326"/>
      <c r="I19" s="4">
        <v>117</v>
      </c>
      <c r="J19" s="8"/>
      <c r="K19" s="233">
        <v>107806000</v>
      </c>
      <c r="L19" s="234">
        <v>91151000</v>
      </c>
    </row>
    <row r="20" spans="1:12" s="3" customFormat="1" ht="14.1" customHeight="1" x14ac:dyDescent="0.2">
      <c r="A20" s="330" t="s">
        <v>2624</v>
      </c>
      <c r="B20" s="331"/>
      <c r="C20" s="331"/>
      <c r="D20" s="331"/>
      <c r="E20" s="331"/>
      <c r="F20" s="331"/>
      <c r="G20" s="331"/>
      <c r="H20" s="332"/>
      <c r="I20" s="4">
        <v>118</v>
      </c>
      <c r="J20" s="8"/>
      <c r="K20" s="59">
        <f>SUM(K21:K23)</f>
        <v>184684000</v>
      </c>
      <c r="L20" s="67">
        <f>SUM(L21:L23)</f>
        <v>187693000</v>
      </c>
    </row>
    <row r="21" spans="1:12" s="3" customFormat="1" ht="14.1" customHeight="1" x14ac:dyDescent="0.2">
      <c r="A21" s="324" t="s">
        <v>2625</v>
      </c>
      <c r="B21" s="325"/>
      <c r="C21" s="325"/>
      <c r="D21" s="325"/>
      <c r="E21" s="325"/>
      <c r="F21" s="325"/>
      <c r="G21" s="325"/>
      <c r="H21" s="326"/>
      <c r="I21" s="4">
        <v>119</v>
      </c>
      <c r="J21" s="8"/>
      <c r="K21" s="233">
        <v>126035000</v>
      </c>
      <c r="L21" s="234">
        <v>128636000</v>
      </c>
    </row>
    <row r="22" spans="1:12" s="3" customFormat="1" ht="14.1" customHeight="1" x14ac:dyDescent="0.2">
      <c r="A22" s="324" t="s">
        <v>2626</v>
      </c>
      <c r="B22" s="325"/>
      <c r="C22" s="325"/>
      <c r="D22" s="325"/>
      <c r="E22" s="325"/>
      <c r="F22" s="325"/>
      <c r="G22" s="325"/>
      <c r="H22" s="326"/>
      <c r="I22" s="4">
        <v>120</v>
      </c>
      <c r="J22" s="8"/>
      <c r="K22" s="233">
        <v>41214000</v>
      </c>
      <c r="L22" s="234">
        <v>41711000</v>
      </c>
    </row>
    <row r="23" spans="1:12" s="3" customFormat="1" ht="14.1" customHeight="1" x14ac:dyDescent="0.2">
      <c r="A23" s="324" t="s">
        <v>2627</v>
      </c>
      <c r="B23" s="325"/>
      <c r="C23" s="325"/>
      <c r="D23" s="325"/>
      <c r="E23" s="325"/>
      <c r="F23" s="325"/>
      <c r="G23" s="325"/>
      <c r="H23" s="326"/>
      <c r="I23" s="4">
        <v>121</v>
      </c>
      <c r="J23" s="8"/>
      <c r="K23" s="233">
        <v>17435000</v>
      </c>
      <c r="L23" s="234">
        <v>17346000</v>
      </c>
    </row>
    <row r="24" spans="1:12" s="3" customFormat="1" ht="14.1" customHeight="1" x14ac:dyDescent="0.2">
      <c r="A24" s="330" t="s">
        <v>2250</v>
      </c>
      <c r="B24" s="331"/>
      <c r="C24" s="331"/>
      <c r="D24" s="331"/>
      <c r="E24" s="331"/>
      <c r="F24" s="331"/>
      <c r="G24" s="331"/>
      <c r="H24" s="332"/>
      <c r="I24" s="4">
        <v>122</v>
      </c>
      <c r="J24" s="8"/>
      <c r="K24" s="233">
        <v>37092000</v>
      </c>
      <c r="L24" s="234">
        <v>40330000</v>
      </c>
    </row>
    <row r="25" spans="1:12" s="3" customFormat="1" ht="14.1" customHeight="1" x14ac:dyDescent="0.2">
      <c r="A25" s="330" t="s">
        <v>2249</v>
      </c>
      <c r="B25" s="331"/>
      <c r="C25" s="331"/>
      <c r="D25" s="331"/>
      <c r="E25" s="331"/>
      <c r="F25" s="331"/>
      <c r="G25" s="331"/>
      <c r="H25" s="332"/>
      <c r="I25" s="4">
        <v>123</v>
      </c>
      <c r="J25" s="8"/>
      <c r="K25" s="233">
        <v>36296000</v>
      </c>
      <c r="L25" s="234">
        <v>38773000</v>
      </c>
    </row>
    <row r="26" spans="1:12" s="3" customFormat="1" ht="14.1" customHeight="1" x14ac:dyDescent="0.2">
      <c r="A26" s="330" t="s">
        <v>2038</v>
      </c>
      <c r="B26" s="331"/>
      <c r="C26" s="331"/>
      <c r="D26" s="331"/>
      <c r="E26" s="331"/>
      <c r="F26" s="331"/>
      <c r="G26" s="331"/>
      <c r="H26" s="332"/>
      <c r="I26" s="4">
        <v>124</v>
      </c>
      <c r="J26" s="8"/>
      <c r="K26" s="59">
        <f>SUM(K27:K28)</f>
        <v>2688000</v>
      </c>
      <c r="L26" s="67">
        <f>SUM(L27:L28)</f>
        <v>4636000</v>
      </c>
    </row>
    <row r="27" spans="1:12" s="3" customFormat="1" ht="14.1" customHeight="1" x14ac:dyDescent="0.2">
      <c r="A27" s="324" t="s">
        <v>1724</v>
      </c>
      <c r="B27" s="325"/>
      <c r="C27" s="325"/>
      <c r="D27" s="325"/>
      <c r="E27" s="325"/>
      <c r="F27" s="325"/>
      <c r="G27" s="325"/>
      <c r="H27" s="326"/>
      <c r="I27" s="4">
        <v>125</v>
      </c>
      <c r="J27" s="8"/>
      <c r="K27" s="233">
        <v>0</v>
      </c>
      <c r="L27" s="234">
        <v>0</v>
      </c>
    </row>
    <row r="28" spans="1:12" s="3" customFormat="1" ht="14.1" customHeight="1" x14ac:dyDescent="0.2">
      <c r="A28" s="324" t="s">
        <v>1725</v>
      </c>
      <c r="B28" s="325"/>
      <c r="C28" s="325"/>
      <c r="D28" s="325"/>
      <c r="E28" s="325"/>
      <c r="F28" s="325"/>
      <c r="G28" s="325"/>
      <c r="H28" s="326"/>
      <c r="I28" s="4">
        <v>126</v>
      </c>
      <c r="J28" s="8"/>
      <c r="K28" s="233">
        <v>2688000</v>
      </c>
      <c r="L28" s="234">
        <v>4636000</v>
      </c>
    </row>
    <row r="29" spans="1:12" s="3" customFormat="1" ht="14.1" customHeight="1" x14ac:dyDescent="0.2">
      <c r="A29" s="330" t="s">
        <v>1726</v>
      </c>
      <c r="B29" s="331"/>
      <c r="C29" s="331"/>
      <c r="D29" s="331"/>
      <c r="E29" s="331"/>
      <c r="F29" s="331"/>
      <c r="G29" s="331"/>
      <c r="H29" s="332"/>
      <c r="I29" s="4">
        <v>127</v>
      </c>
      <c r="J29" s="8"/>
      <c r="K29" s="233">
        <v>32751000</v>
      </c>
      <c r="L29" s="234">
        <v>34696000</v>
      </c>
    </row>
    <row r="30" spans="1:12" s="3" customFormat="1" ht="14.1" customHeight="1" x14ac:dyDescent="0.2">
      <c r="A30" s="330" t="s">
        <v>1727</v>
      </c>
      <c r="B30" s="331"/>
      <c r="C30" s="331"/>
      <c r="D30" s="331"/>
      <c r="E30" s="331"/>
      <c r="F30" s="331"/>
      <c r="G30" s="331"/>
      <c r="H30" s="332"/>
      <c r="I30" s="4">
        <v>128</v>
      </c>
      <c r="J30" s="8"/>
      <c r="K30" s="233">
        <v>17229000</v>
      </c>
      <c r="L30" s="234">
        <v>16252000</v>
      </c>
    </row>
    <row r="31" spans="1:12" s="3" customFormat="1" ht="14.1" customHeight="1" x14ac:dyDescent="0.2">
      <c r="A31" s="330" t="s">
        <v>1885</v>
      </c>
      <c r="B31" s="331"/>
      <c r="C31" s="331"/>
      <c r="D31" s="331"/>
      <c r="E31" s="331"/>
      <c r="F31" s="331"/>
      <c r="G31" s="331"/>
      <c r="H31" s="332"/>
      <c r="I31" s="4">
        <v>129</v>
      </c>
      <c r="J31" s="8"/>
      <c r="K31" s="59">
        <f>SUM(K32:K36)</f>
        <v>11658000</v>
      </c>
      <c r="L31" s="67">
        <f>SUM(L32:L36)</f>
        <v>16462000</v>
      </c>
    </row>
    <row r="32" spans="1:12" s="3" customFormat="1" ht="27.95" customHeight="1" x14ac:dyDescent="0.2">
      <c r="A32" s="330" t="s">
        <v>1728</v>
      </c>
      <c r="B32" s="331"/>
      <c r="C32" s="331"/>
      <c r="D32" s="331"/>
      <c r="E32" s="331"/>
      <c r="F32" s="331"/>
      <c r="G32" s="331"/>
      <c r="H32" s="332"/>
      <c r="I32" s="4">
        <v>130</v>
      </c>
      <c r="J32" s="8"/>
      <c r="K32" s="233"/>
      <c r="L32" s="234"/>
    </row>
    <row r="33" spans="1:12" s="3" customFormat="1" ht="27.95" customHeight="1" x14ac:dyDescent="0.2">
      <c r="A33" s="330" t="s">
        <v>2253</v>
      </c>
      <c r="B33" s="331"/>
      <c r="C33" s="331"/>
      <c r="D33" s="331"/>
      <c r="E33" s="331"/>
      <c r="F33" s="331"/>
      <c r="G33" s="331"/>
      <c r="H33" s="332"/>
      <c r="I33" s="4">
        <v>131</v>
      </c>
      <c r="J33" s="8"/>
      <c r="K33" s="233">
        <v>11657000</v>
      </c>
      <c r="L33" s="234">
        <v>16414000</v>
      </c>
    </row>
    <row r="34" spans="1:12" s="3" customFormat="1" ht="14.1" customHeight="1" x14ac:dyDescent="0.2">
      <c r="A34" s="330" t="s">
        <v>1729</v>
      </c>
      <c r="B34" s="331"/>
      <c r="C34" s="331"/>
      <c r="D34" s="331"/>
      <c r="E34" s="331"/>
      <c r="F34" s="331"/>
      <c r="G34" s="331"/>
      <c r="H34" s="332"/>
      <c r="I34" s="4">
        <v>132</v>
      </c>
      <c r="J34" s="8"/>
      <c r="K34" s="233">
        <v>0</v>
      </c>
      <c r="L34" s="234">
        <v>0</v>
      </c>
    </row>
    <row r="35" spans="1:12" s="3" customFormat="1" ht="14.1" customHeight="1" x14ac:dyDescent="0.2">
      <c r="A35" s="330" t="s">
        <v>1730</v>
      </c>
      <c r="B35" s="331"/>
      <c r="C35" s="331"/>
      <c r="D35" s="331"/>
      <c r="E35" s="331"/>
      <c r="F35" s="331"/>
      <c r="G35" s="331"/>
      <c r="H35" s="332"/>
      <c r="I35" s="4">
        <v>133</v>
      </c>
      <c r="J35" s="8"/>
      <c r="K35" s="233">
        <v>0</v>
      </c>
      <c r="L35" s="234">
        <v>0</v>
      </c>
    </row>
    <row r="36" spans="1:12" s="3" customFormat="1" ht="14.1" customHeight="1" x14ac:dyDescent="0.2">
      <c r="A36" s="330" t="s">
        <v>1731</v>
      </c>
      <c r="B36" s="331"/>
      <c r="C36" s="331"/>
      <c r="D36" s="331"/>
      <c r="E36" s="331"/>
      <c r="F36" s="331"/>
      <c r="G36" s="331"/>
      <c r="H36" s="332"/>
      <c r="I36" s="4">
        <v>134</v>
      </c>
      <c r="J36" s="8"/>
      <c r="K36" s="233">
        <v>1000</v>
      </c>
      <c r="L36" s="234">
        <v>48000</v>
      </c>
    </row>
    <row r="37" spans="1:12" s="3" customFormat="1" ht="14.1" customHeight="1" x14ac:dyDescent="0.2">
      <c r="A37" s="330" t="s">
        <v>1886</v>
      </c>
      <c r="B37" s="331"/>
      <c r="C37" s="331"/>
      <c r="D37" s="331"/>
      <c r="E37" s="331"/>
      <c r="F37" s="331"/>
      <c r="G37" s="331"/>
      <c r="H37" s="332"/>
      <c r="I37" s="4">
        <v>135</v>
      </c>
      <c r="J37" s="8"/>
      <c r="K37" s="59">
        <f>SUM(K38:K41)</f>
        <v>21546000</v>
      </c>
      <c r="L37" s="67">
        <f>SUM(L38:L41)</f>
        <v>60748000</v>
      </c>
    </row>
    <row r="38" spans="1:12" s="3" customFormat="1" ht="14.1" customHeight="1" x14ac:dyDescent="0.2">
      <c r="A38" s="330" t="s">
        <v>2629</v>
      </c>
      <c r="B38" s="331"/>
      <c r="C38" s="331"/>
      <c r="D38" s="331"/>
      <c r="E38" s="331"/>
      <c r="F38" s="331"/>
      <c r="G38" s="331"/>
      <c r="H38" s="332"/>
      <c r="I38" s="4">
        <v>136</v>
      </c>
      <c r="J38" s="8"/>
      <c r="K38" s="233"/>
      <c r="L38" s="234"/>
    </row>
    <row r="39" spans="1:12" s="3" customFormat="1" ht="27.95" customHeight="1" x14ac:dyDescent="0.2">
      <c r="A39" s="330" t="s">
        <v>2628</v>
      </c>
      <c r="B39" s="331"/>
      <c r="C39" s="331"/>
      <c r="D39" s="331"/>
      <c r="E39" s="331"/>
      <c r="F39" s="331"/>
      <c r="G39" s="331"/>
      <c r="H39" s="332"/>
      <c r="I39" s="4">
        <v>137</v>
      </c>
      <c r="J39" s="8"/>
      <c r="K39" s="233">
        <v>21459000</v>
      </c>
      <c r="L39" s="234">
        <v>59603000</v>
      </c>
    </row>
    <row r="40" spans="1:12" s="3" customFormat="1" ht="14.1" customHeight="1" x14ac:dyDescent="0.2">
      <c r="A40" s="330" t="s">
        <v>2630</v>
      </c>
      <c r="B40" s="331"/>
      <c r="C40" s="331"/>
      <c r="D40" s="331"/>
      <c r="E40" s="331"/>
      <c r="F40" s="331"/>
      <c r="G40" s="331"/>
      <c r="H40" s="332"/>
      <c r="I40" s="4">
        <v>138</v>
      </c>
      <c r="J40" s="8"/>
      <c r="K40" s="233">
        <v>87000</v>
      </c>
      <c r="L40" s="234">
        <v>1124000</v>
      </c>
    </row>
    <row r="41" spans="1:12" s="3" customFormat="1" ht="14.1" customHeight="1" x14ac:dyDescent="0.2">
      <c r="A41" s="330" t="s">
        <v>2631</v>
      </c>
      <c r="B41" s="331"/>
      <c r="C41" s="331"/>
      <c r="D41" s="331"/>
      <c r="E41" s="331"/>
      <c r="F41" s="331"/>
      <c r="G41" s="331"/>
      <c r="H41" s="332"/>
      <c r="I41" s="4">
        <v>139</v>
      </c>
      <c r="J41" s="8"/>
      <c r="K41" s="233">
        <v>0</v>
      </c>
      <c r="L41" s="234">
        <v>21000</v>
      </c>
    </row>
    <row r="42" spans="1:12" s="3" customFormat="1" ht="14.1" customHeight="1" x14ac:dyDescent="0.2">
      <c r="A42" s="330" t="s">
        <v>2634</v>
      </c>
      <c r="B42" s="331"/>
      <c r="C42" s="331"/>
      <c r="D42" s="331"/>
      <c r="E42" s="331"/>
      <c r="F42" s="331"/>
      <c r="G42" s="331"/>
      <c r="H42" s="332"/>
      <c r="I42" s="4">
        <v>140</v>
      </c>
      <c r="J42" s="8"/>
      <c r="K42" s="233">
        <v>0</v>
      </c>
      <c r="L42" s="234">
        <v>0</v>
      </c>
    </row>
    <row r="43" spans="1:12" s="3" customFormat="1" ht="14.1" customHeight="1" x14ac:dyDescent="0.2">
      <c r="A43" s="330" t="s">
        <v>2633</v>
      </c>
      <c r="B43" s="331"/>
      <c r="C43" s="331"/>
      <c r="D43" s="331"/>
      <c r="E43" s="331"/>
      <c r="F43" s="331"/>
      <c r="G43" s="331"/>
      <c r="H43" s="332"/>
      <c r="I43" s="4">
        <v>141</v>
      </c>
      <c r="J43" s="8"/>
      <c r="K43" s="233">
        <v>0</v>
      </c>
      <c r="L43" s="234">
        <v>0</v>
      </c>
    </row>
    <row r="44" spans="1:12" s="3" customFormat="1" ht="14.1" customHeight="1" x14ac:dyDescent="0.2">
      <c r="A44" s="330" t="s">
        <v>2632</v>
      </c>
      <c r="B44" s="331"/>
      <c r="C44" s="331"/>
      <c r="D44" s="331"/>
      <c r="E44" s="331"/>
      <c r="F44" s="331"/>
      <c r="G44" s="331"/>
      <c r="H44" s="332"/>
      <c r="I44" s="4">
        <v>142</v>
      </c>
      <c r="J44" s="8"/>
      <c r="K44" s="59">
        <f>K9+K31+K42</f>
        <v>833138000</v>
      </c>
      <c r="L44" s="67">
        <f>L9+L31+L42</f>
        <v>863053000</v>
      </c>
    </row>
    <row r="45" spans="1:12" s="3" customFormat="1" ht="14.1" customHeight="1" x14ac:dyDescent="0.2">
      <c r="A45" s="330" t="s">
        <v>1887</v>
      </c>
      <c r="B45" s="331"/>
      <c r="C45" s="331"/>
      <c r="D45" s="331"/>
      <c r="E45" s="331"/>
      <c r="F45" s="331"/>
      <c r="G45" s="331"/>
      <c r="H45" s="332"/>
      <c r="I45" s="4">
        <v>143</v>
      </c>
      <c r="J45" s="8"/>
      <c r="K45" s="59">
        <f>K13+K37+K43</f>
        <v>812795000</v>
      </c>
      <c r="L45" s="67">
        <f>L13+L37+L43</f>
        <v>854348000</v>
      </c>
    </row>
    <row r="46" spans="1:12" s="3" customFormat="1" ht="14.1" customHeight="1" x14ac:dyDescent="0.2">
      <c r="A46" s="330" t="s">
        <v>2635</v>
      </c>
      <c r="B46" s="331"/>
      <c r="C46" s="331"/>
      <c r="D46" s="331"/>
      <c r="E46" s="331"/>
      <c r="F46" s="331"/>
      <c r="G46" s="331"/>
      <c r="H46" s="332"/>
      <c r="I46" s="4">
        <v>144</v>
      </c>
      <c r="J46" s="8"/>
      <c r="K46" s="59">
        <f>IF(K44&gt;K45,K44-K45,0)</f>
        <v>20343000</v>
      </c>
      <c r="L46" s="67">
        <f>IF(L44&gt;L45,L44-L45,0)</f>
        <v>8705000</v>
      </c>
    </row>
    <row r="47" spans="1:12" s="3" customFormat="1" ht="14.1" customHeight="1" x14ac:dyDescent="0.2">
      <c r="A47" s="330" t="s">
        <v>2636</v>
      </c>
      <c r="B47" s="331"/>
      <c r="C47" s="331"/>
      <c r="D47" s="331"/>
      <c r="E47" s="331"/>
      <c r="F47" s="331"/>
      <c r="G47" s="331"/>
      <c r="H47" s="332"/>
      <c r="I47" s="4">
        <v>145</v>
      </c>
      <c r="J47" s="8"/>
      <c r="K47" s="59">
        <f>IF(K45&gt;K44,K45-K44,0)</f>
        <v>0</v>
      </c>
      <c r="L47" s="67">
        <f>IF(L45&gt;L44,L45-L44,0)</f>
        <v>0</v>
      </c>
    </row>
    <row r="48" spans="1:12" s="3" customFormat="1" ht="14.1" customHeight="1" x14ac:dyDescent="0.2">
      <c r="A48" s="330" t="s">
        <v>2637</v>
      </c>
      <c r="B48" s="331"/>
      <c r="C48" s="331"/>
      <c r="D48" s="331"/>
      <c r="E48" s="331"/>
      <c r="F48" s="331"/>
      <c r="G48" s="331"/>
      <c r="H48" s="332"/>
      <c r="I48" s="4">
        <v>146</v>
      </c>
      <c r="J48" s="8"/>
      <c r="K48" s="233">
        <v>4512000</v>
      </c>
      <c r="L48" s="234">
        <v>2281000</v>
      </c>
    </row>
    <row r="49" spans="1:12" s="3" customFormat="1" ht="14.1" customHeight="1" x14ac:dyDescent="0.2">
      <c r="A49" s="330" t="s">
        <v>2638</v>
      </c>
      <c r="B49" s="331"/>
      <c r="C49" s="331"/>
      <c r="D49" s="331"/>
      <c r="E49" s="331"/>
      <c r="F49" s="331"/>
      <c r="G49" s="331"/>
      <c r="H49" s="332"/>
      <c r="I49" s="4">
        <v>147</v>
      </c>
      <c r="J49" s="8"/>
      <c r="K49" s="59">
        <f>IF(K46-K47-K48&gt;0,K46-K47-K48,0)</f>
        <v>15831000</v>
      </c>
      <c r="L49" s="67">
        <f>IF(L46-L47-L48&gt;0,L46-L47-L48,0)</f>
        <v>6424000</v>
      </c>
    </row>
    <row r="50" spans="1:12" s="3" customFormat="1" ht="14.1" customHeight="1" x14ac:dyDescent="0.2">
      <c r="A50" s="363" t="s">
        <v>1888</v>
      </c>
      <c r="B50" s="364"/>
      <c r="C50" s="364"/>
      <c r="D50" s="364"/>
      <c r="E50" s="364"/>
      <c r="F50" s="364"/>
      <c r="G50" s="364"/>
      <c r="H50" s="365"/>
      <c r="I50" s="18">
        <v>148</v>
      </c>
      <c r="J50" s="17"/>
      <c r="K50" s="60">
        <f>IF(K47+K48-K46&gt;0,K47+K48-K46,0)</f>
        <v>0</v>
      </c>
      <c r="L50" s="85">
        <f>IF(L47+L48-L46&gt;0,L47+L48-L46,0)</f>
        <v>0</v>
      </c>
    </row>
    <row r="51" spans="1:12" s="3" customFormat="1" ht="15" customHeight="1" x14ac:dyDescent="0.2">
      <c r="A51" s="380" t="s">
        <v>1889</v>
      </c>
      <c r="B51" s="381"/>
      <c r="C51" s="381"/>
      <c r="D51" s="381"/>
      <c r="E51" s="381"/>
      <c r="F51" s="381"/>
      <c r="G51" s="381"/>
      <c r="H51" s="381"/>
      <c r="I51" s="382"/>
      <c r="J51" s="382"/>
      <c r="K51" s="382"/>
      <c r="L51" s="383"/>
    </row>
    <row r="52" spans="1:12" s="3" customFormat="1" ht="14.1" customHeight="1" x14ac:dyDescent="0.2">
      <c r="A52" s="366" t="s">
        <v>2083</v>
      </c>
      <c r="B52" s="367"/>
      <c r="C52" s="367"/>
      <c r="D52" s="367"/>
      <c r="E52" s="367"/>
      <c r="F52" s="367"/>
      <c r="G52" s="367"/>
      <c r="H52" s="379"/>
      <c r="I52" s="14">
        <v>149</v>
      </c>
      <c r="J52" s="15"/>
      <c r="K52" s="64">
        <v>0</v>
      </c>
      <c r="L52" s="66">
        <v>6201000</v>
      </c>
    </row>
    <row r="53" spans="1:12" s="3" customFormat="1" ht="14.1" customHeight="1" x14ac:dyDescent="0.2">
      <c r="A53" s="376" t="s">
        <v>2639</v>
      </c>
      <c r="B53" s="377"/>
      <c r="C53" s="377"/>
      <c r="D53" s="377"/>
      <c r="E53" s="377"/>
      <c r="F53" s="377"/>
      <c r="G53" s="377"/>
      <c r="H53" s="378"/>
      <c r="I53" s="13">
        <v>150</v>
      </c>
      <c r="J53" s="8"/>
      <c r="K53" s="58">
        <v>0</v>
      </c>
      <c r="L53" s="234">
        <v>223000</v>
      </c>
    </row>
    <row r="54" spans="1:12" s="3" customFormat="1" ht="14.1" customHeight="1" x14ac:dyDescent="0.2">
      <c r="A54" s="376" t="s">
        <v>2084</v>
      </c>
      <c r="B54" s="377"/>
      <c r="C54" s="377"/>
      <c r="D54" s="377"/>
      <c r="E54" s="377"/>
      <c r="F54" s="377"/>
      <c r="G54" s="377"/>
      <c r="H54" s="378"/>
      <c r="I54" s="13">
        <v>151</v>
      </c>
      <c r="J54" s="8"/>
      <c r="K54" s="58">
        <v>0</v>
      </c>
      <c r="L54" s="68"/>
    </row>
    <row r="55" spans="1:12" s="3" customFormat="1" ht="14.1" customHeight="1" x14ac:dyDescent="0.2">
      <c r="A55" s="373" t="s">
        <v>896</v>
      </c>
      <c r="B55" s="374"/>
      <c r="C55" s="374"/>
      <c r="D55" s="374"/>
      <c r="E55" s="374"/>
      <c r="F55" s="374"/>
      <c r="G55" s="374"/>
      <c r="H55" s="375"/>
      <c r="I55" s="16">
        <v>152</v>
      </c>
      <c r="J55" s="17"/>
      <c r="K55" s="65">
        <v>0</v>
      </c>
      <c r="L55" s="71"/>
    </row>
    <row r="56" spans="1:12" ht="5.0999999999999996" customHeight="1" x14ac:dyDescent="0.2"/>
  </sheetData>
  <sheetProtection password="C79A" sheet="1" objects="1"/>
  <mergeCells count="54">
    <mergeCell ref="A10:H10"/>
    <mergeCell ref="A9:H9"/>
    <mergeCell ref="A6:L6"/>
    <mergeCell ref="A7:H7"/>
    <mergeCell ref="A3:K3"/>
    <mergeCell ref="A4:K4"/>
    <mergeCell ref="L3:L4"/>
    <mergeCell ref="A8:H8"/>
    <mergeCell ref="A15:H15"/>
    <mergeCell ref="A16:H16"/>
    <mergeCell ref="A13:H13"/>
    <mergeCell ref="A14:H14"/>
    <mergeCell ref="A11:H11"/>
    <mergeCell ref="A12:H12"/>
    <mergeCell ref="A21:H21"/>
    <mergeCell ref="A22:H22"/>
    <mergeCell ref="A19:H19"/>
    <mergeCell ref="A20:H20"/>
    <mergeCell ref="A17:H17"/>
    <mergeCell ref="A18:H18"/>
    <mergeCell ref="A27:H27"/>
    <mergeCell ref="A28:H28"/>
    <mergeCell ref="A25:H25"/>
    <mergeCell ref="A26:H26"/>
    <mergeCell ref="A23:H23"/>
    <mergeCell ref="A24:H24"/>
    <mergeCell ref="A33:H33"/>
    <mergeCell ref="A34:H34"/>
    <mergeCell ref="A31:H31"/>
    <mergeCell ref="A32:H32"/>
    <mergeCell ref="A29:H29"/>
    <mergeCell ref="A30:H30"/>
    <mergeCell ref="A39:H39"/>
    <mergeCell ref="A40:H40"/>
    <mergeCell ref="A37:H37"/>
    <mergeCell ref="A38:H38"/>
    <mergeCell ref="A35:H35"/>
    <mergeCell ref="A36:H36"/>
    <mergeCell ref="A45:H45"/>
    <mergeCell ref="A46:H46"/>
    <mergeCell ref="A43:H43"/>
    <mergeCell ref="A44:H44"/>
    <mergeCell ref="A41:H41"/>
    <mergeCell ref="A42:H42"/>
    <mergeCell ref="A1:B2"/>
    <mergeCell ref="A55:H55"/>
    <mergeCell ref="A53:H53"/>
    <mergeCell ref="A54:H54"/>
    <mergeCell ref="A52:H52"/>
    <mergeCell ref="A49:H49"/>
    <mergeCell ref="A50:H50"/>
    <mergeCell ref="A51:L51"/>
    <mergeCell ref="A47:H47"/>
    <mergeCell ref="A48:H48"/>
  </mergeCells>
  <phoneticPr fontId="2" type="noConversion"/>
  <dataValidations count="3">
    <dataValidation type="textLength" operator="lessThan" allowBlank="1" showInputMessage="1" showErrorMessage="1" errorTitle="Redni broj bilješke" error="Redni broj bilješke mora biti text duljine najviše 10 znakova." sqref="J9:J50 J52:J55">
      <formula1>10</formula1>
    </dataValidation>
    <dataValidation type="whole" operator="greaterThanOrEqual" allowBlank="1" showInputMessage="1" showErrorMessage="1" errorTitle="Pogrešan unos" error="Mogu se unijeti samo cjelobrojne pozitivne vrijednosti." sqref="K52:L55 K9:L47 K49:L50">
      <formula1>0</formula1>
    </dataValidation>
    <dataValidation type="whole" operator="notEqual" allowBlank="1" showInputMessage="1" showErrorMessage="1" errorTitle="Pogrešan unos" error="Mogu se unijeti samo cjelobrojne vrijednosti. Iznimno, zbog odgođene porezne imovine, moguće je unijeti i negativne vrijednosti." sqref="K48:L48">
      <formula1>9999999999</formula1>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5118110236220474" right="0.55118110236220474" top="0.78740157480314965" bottom="0.78740157480314965" header="0.59055118110236227" footer="0.59055118110236227"/>
  <pageSetup paperSize="9" scale="86"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P138"/>
  <sheetViews>
    <sheetView showGridLines="0" showRowColHeaders="0" workbookViewId="0">
      <pane ySplit="8" topLeftCell="A9" activePane="bottomLeft" state="frozen"/>
      <selection sqref="A1:B2"/>
      <selection pane="bottomLeft" activeCell="A9" sqref="A9:L9"/>
    </sheetView>
  </sheetViews>
  <sheetFormatPr defaultColWidth="0" defaultRowHeight="12.75" zeroHeight="1" x14ac:dyDescent="0.2"/>
  <cols>
    <col min="1" max="10" width="7.7109375" customWidth="1"/>
    <col min="11" max="12" width="14.7109375" customWidth="1"/>
    <col min="13" max="13" width="0.85546875" customWidth="1"/>
    <col min="14" max="14" width="0" hidden="1" customWidth="1"/>
    <col min="15" max="16" width="11.140625" hidden="1" customWidth="1"/>
  </cols>
  <sheetData>
    <row r="1" spans="1:16" ht="20.100000000000001" customHeight="1" x14ac:dyDescent="0.2">
      <c r="A1" s="312" t="s">
        <v>559</v>
      </c>
      <c r="B1" s="313"/>
      <c r="C1" s="126" t="s">
        <v>95</v>
      </c>
      <c r="D1" s="123" t="s">
        <v>560</v>
      </c>
      <c r="E1" s="123" t="s">
        <v>1410</v>
      </c>
      <c r="F1" s="144" t="s">
        <v>2177</v>
      </c>
      <c r="G1" s="123" t="s">
        <v>96</v>
      </c>
      <c r="H1" s="144" t="s">
        <v>97</v>
      </c>
      <c r="I1" s="123" t="s">
        <v>1411</v>
      </c>
      <c r="J1" s="124" t="s">
        <v>98</v>
      </c>
      <c r="K1" s="3"/>
      <c r="L1" s="3"/>
      <c r="O1" s="36">
        <f>K26+L26+K45+L45+K51+L51+K58+L58+K65+L65+K70+L70+K77+L77+K93+L93+K112+L112+K116+L116+K121+L121+K127+L127+K134+L134+K137+L137</f>
        <v>0</v>
      </c>
      <c r="P1" s="36">
        <f>K26+K45+K51+K58+K65+K70+K77+K93+K112+K116+K121+K127+K134+K137</f>
        <v>0</v>
      </c>
    </row>
    <row r="2" spans="1:16" s="3" customFormat="1" ht="20.100000000000001" customHeight="1" thickBot="1" x14ac:dyDescent="0.25">
      <c r="A2" s="314"/>
      <c r="B2" s="315"/>
      <c r="C2" s="127" t="s">
        <v>1114</v>
      </c>
      <c r="D2" s="128" t="s">
        <v>1413</v>
      </c>
      <c r="E2" s="128" t="s">
        <v>1115</v>
      </c>
      <c r="F2" s="128" t="s">
        <v>1412</v>
      </c>
      <c r="G2" s="128" t="s">
        <v>99</v>
      </c>
      <c r="H2" s="128" t="s">
        <v>1116</v>
      </c>
      <c r="I2" s="129" t="s">
        <v>100</v>
      </c>
      <c r="J2" s="125"/>
      <c r="P2" s="36">
        <f>L26+L45+L51+L58+L65+L70+L77+L93+L112+L116+L121+L127+L134+L137</f>
        <v>0</v>
      </c>
    </row>
    <row r="3" spans="1:16" s="3" customFormat="1" ht="20.100000000000001" customHeight="1" x14ac:dyDescent="0.2">
      <c r="A3" s="393" t="s">
        <v>1368</v>
      </c>
      <c r="B3" s="394"/>
      <c r="C3" s="394"/>
      <c r="D3" s="394"/>
      <c r="E3" s="394"/>
      <c r="F3" s="394"/>
      <c r="G3" s="394"/>
      <c r="H3" s="394"/>
      <c r="I3" s="394"/>
      <c r="J3" s="394"/>
      <c r="K3" s="395"/>
      <c r="L3" s="350" t="s">
        <v>2537</v>
      </c>
    </row>
    <row r="4" spans="1:16" s="3" customFormat="1" ht="20.100000000000001" customHeight="1" thickBot="1" x14ac:dyDescent="0.25">
      <c r="A4" s="396" t="str">
        <f xml:space="preserve"> "za razdoblje " &amp; IF(Opci!E5&lt;&gt;"", TEXT(Opci!E5, "DD.MM.YYYY."), "__.__.____.") &amp; " do " &amp; IF(Opci!H5&lt;&gt;"", TEXT(Opci!H5, "DD.MM.YYYY."),"__.__.____.")</f>
        <v>za razdoblje 01.01.2009. do 31.03.2009.</v>
      </c>
      <c r="B4" s="397"/>
      <c r="C4" s="397"/>
      <c r="D4" s="397"/>
      <c r="E4" s="397"/>
      <c r="F4" s="397"/>
      <c r="G4" s="397"/>
      <c r="H4" s="397"/>
      <c r="I4" s="397"/>
      <c r="J4" s="397"/>
      <c r="K4" s="395"/>
      <c r="L4" s="415"/>
    </row>
    <row r="5" spans="1:16" s="3" customFormat="1" ht="5.0999999999999996" customHeight="1" x14ac:dyDescent="0.2">
      <c r="A5" s="62"/>
      <c r="B5" s="63"/>
      <c r="C5" s="63"/>
      <c r="D5" s="63"/>
      <c r="E5" s="63"/>
      <c r="F5" s="63"/>
      <c r="G5" s="63"/>
      <c r="H5" s="63"/>
      <c r="I5" s="63"/>
      <c r="J5" s="63"/>
      <c r="K5" s="57"/>
      <c r="L5" s="80"/>
    </row>
    <row r="6" spans="1:16" s="3" customFormat="1" ht="20.100000000000001" customHeight="1" x14ac:dyDescent="0.2">
      <c r="A6" s="336" t="str">
        <f>"Obveznik: "&amp;IF(Opci!C19&lt;&gt;"",Opci!C19,"________") &amp; "; " &amp; IF(Opci!C25&lt;&gt;"",Opci!C25,"_____________________________________________________________"&amp;"; "&amp;IF(Opci!F27&lt;&gt;"",Opci!F27,"_______________"))</f>
        <v>Obveznik: 03454088; PODRAVKA GRUPA</v>
      </c>
      <c r="B6" s="337"/>
      <c r="C6" s="337"/>
      <c r="D6" s="337"/>
      <c r="E6" s="337"/>
      <c r="F6" s="337"/>
      <c r="G6" s="337"/>
      <c r="H6" s="337"/>
      <c r="I6" s="337"/>
      <c r="J6" s="337"/>
      <c r="K6" s="337"/>
      <c r="L6" s="338"/>
    </row>
    <row r="7" spans="1:16" s="3" customFormat="1" ht="24.75" customHeight="1" thickBot="1" x14ac:dyDescent="0.25">
      <c r="A7" s="418" t="s">
        <v>2618</v>
      </c>
      <c r="B7" s="418"/>
      <c r="C7" s="418"/>
      <c r="D7" s="418"/>
      <c r="E7" s="418"/>
      <c r="F7" s="418"/>
      <c r="G7" s="418"/>
      <c r="H7" s="418"/>
      <c r="I7" s="419"/>
      <c r="J7" s="132" t="s">
        <v>101</v>
      </c>
      <c r="K7" s="133" t="s">
        <v>898</v>
      </c>
      <c r="L7" s="133" t="s">
        <v>899</v>
      </c>
    </row>
    <row r="8" spans="1:16" s="3" customFormat="1" ht="14.1" customHeight="1" x14ac:dyDescent="0.2">
      <c r="A8" s="416">
        <v>1</v>
      </c>
      <c r="B8" s="416"/>
      <c r="C8" s="416"/>
      <c r="D8" s="416"/>
      <c r="E8" s="416"/>
      <c r="F8" s="416"/>
      <c r="G8" s="416"/>
      <c r="H8" s="416"/>
      <c r="I8" s="417"/>
      <c r="J8" s="135">
        <v>2</v>
      </c>
      <c r="K8" s="134">
        <v>3</v>
      </c>
      <c r="L8" s="134">
        <v>4</v>
      </c>
    </row>
    <row r="9" spans="1:16" s="3" customFormat="1" ht="15" customHeight="1" x14ac:dyDescent="0.2">
      <c r="A9" s="346" t="s">
        <v>2087</v>
      </c>
      <c r="B9" s="347"/>
      <c r="C9" s="347"/>
      <c r="D9" s="347"/>
      <c r="E9" s="347"/>
      <c r="F9" s="347"/>
      <c r="G9" s="347"/>
      <c r="H9" s="347"/>
      <c r="I9" s="413"/>
      <c r="J9" s="413"/>
      <c r="K9" s="413"/>
      <c r="L9" s="414"/>
    </row>
    <row r="10" spans="1:16" s="3" customFormat="1" ht="14.1" customHeight="1" x14ac:dyDescent="0.2">
      <c r="A10" s="398" t="s">
        <v>1107</v>
      </c>
      <c r="B10" s="399"/>
      <c r="C10" s="399"/>
      <c r="D10" s="399"/>
      <c r="E10" s="399"/>
      <c r="F10" s="399"/>
      <c r="G10" s="399"/>
      <c r="H10" s="399"/>
      <c r="I10" s="400"/>
      <c r="J10" s="136">
        <v>153</v>
      </c>
      <c r="K10" s="64"/>
      <c r="L10" s="66"/>
    </row>
    <row r="11" spans="1:16" s="3" customFormat="1" ht="14.1" customHeight="1" x14ac:dyDescent="0.2">
      <c r="A11" s="324" t="s">
        <v>1106</v>
      </c>
      <c r="B11" s="325"/>
      <c r="C11" s="325"/>
      <c r="D11" s="325"/>
      <c r="E11" s="325"/>
      <c r="F11" s="325"/>
      <c r="G11" s="325"/>
      <c r="H11" s="325"/>
      <c r="I11" s="392"/>
      <c r="J11" s="4">
        <v>154</v>
      </c>
      <c r="K11" s="58"/>
      <c r="L11" s="68"/>
    </row>
    <row r="12" spans="1:16" s="3" customFormat="1" ht="14.1" customHeight="1" x14ac:dyDescent="0.2">
      <c r="A12" s="324" t="s">
        <v>365</v>
      </c>
      <c r="B12" s="325"/>
      <c r="C12" s="325"/>
      <c r="D12" s="325"/>
      <c r="E12" s="325"/>
      <c r="F12" s="325"/>
      <c r="G12" s="325"/>
      <c r="H12" s="325"/>
      <c r="I12" s="392"/>
      <c r="J12" s="4">
        <v>155</v>
      </c>
      <c r="K12" s="58"/>
      <c r="L12" s="68"/>
    </row>
    <row r="13" spans="1:16" s="3" customFormat="1" ht="14.1" customHeight="1" x14ac:dyDescent="0.2">
      <c r="A13" s="324" t="s">
        <v>366</v>
      </c>
      <c r="B13" s="325"/>
      <c r="C13" s="325"/>
      <c r="D13" s="325"/>
      <c r="E13" s="325"/>
      <c r="F13" s="325"/>
      <c r="G13" s="325"/>
      <c r="H13" s="325"/>
      <c r="I13" s="392"/>
      <c r="J13" s="4">
        <v>156</v>
      </c>
      <c r="K13" s="58"/>
      <c r="L13" s="68"/>
    </row>
    <row r="14" spans="1:16" s="3" customFormat="1" ht="14.1" customHeight="1" x14ac:dyDescent="0.2">
      <c r="A14" s="324" t="s">
        <v>367</v>
      </c>
      <c r="B14" s="325"/>
      <c r="C14" s="325"/>
      <c r="D14" s="325"/>
      <c r="E14" s="325"/>
      <c r="F14" s="325"/>
      <c r="G14" s="325"/>
      <c r="H14" s="325"/>
      <c r="I14" s="392"/>
      <c r="J14" s="4">
        <v>157</v>
      </c>
      <c r="K14" s="58"/>
      <c r="L14" s="68"/>
    </row>
    <row r="15" spans="1:16" s="3" customFormat="1" ht="14.1" customHeight="1" x14ac:dyDescent="0.2">
      <c r="A15" s="324" t="s">
        <v>368</v>
      </c>
      <c r="B15" s="325"/>
      <c r="C15" s="325"/>
      <c r="D15" s="325"/>
      <c r="E15" s="325"/>
      <c r="F15" s="325"/>
      <c r="G15" s="325"/>
      <c r="H15" s="325"/>
      <c r="I15" s="392"/>
      <c r="J15" s="4">
        <v>158</v>
      </c>
      <c r="K15" s="58"/>
      <c r="L15" s="68"/>
    </row>
    <row r="16" spans="1:16" s="3" customFormat="1" ht="14.1" customHeight="1" x14ac:dyDescent="0.2">
      <c r="A16" s="324" t="s">
        <v>369</v>
      </c>
      <c r="B16" s="325"/>
      <c r="C16" s="325"/>
      <c r="D16" s="325"/>
      <c r="E16" s="325"/>
      <c r="F16" s="325"/>
      <c r="G16" s="325"/>
      <c r="H16" s="325"/>
      <c r="I16" s="392"/>
      <c r="J16" s="4">
        <v>159</v>
      </c>
      <c r="K16" s="58"/>
      <c r="L16" s="68"/>
    </row>
    <row r="17" spans="1:12" s="3" customFormat="1" ht="14.1" customHeight="1" x14ac:dyDescent="0.2">
      <c r="A17" s="324" t="s">
        <v>370</v>
      </c>
      <c r="B17" s="325"/>
      <c r="C17" s="325"/>
      <c r="D17" s="325"/>
      <c r="E17" s="325"/>
      <c r="F17" s="325"/>
      <c r="G17" s="325"/>
      <c r="H17" s="325"/>
      <c r="I17" s="392"/>
      <c r="J17" s="4">
        <v>160</v>
      </c>
      <c r="K17" s="58"/>
      <c r="L17" s="68"/>
    </row>
    <row r="18" spans="1:12" s="3" customFormat="1" ht="14.1" customHeight="1" x14ac:dyDescent="0.2">
      <c r="A18" s="324" t="s">
        <v>371</v>
      </c>
      <c r="B18" s="325"/>
      <c r="C18" s="325"/>
      <c r="D18" s="325"/>
      <c r="E18" s="325"/>
      <c r="F18" s="325"/>
      <c r="G18" s="325"/>
      <c r="H18" s="325"/>
      <c r="I18" s="392"/>
      <c r="J18" s="4">
        <v>161</v>
      </c>
      <c r="K18" s="58"/>
      <c r="L18" s="68"/>
    </row>
    <row r="19" spans="1:12" s="3" customFormat="1" ht="14.1" customHeight="1" x14ac:dyDescent="0.2">
      <c r="A19" s="324" t="s">
        <v>372</v>
      </c>
      <c r="B19" s="325"/>
      <c r="C19" s="325"/>
      <c r="D19" s="325"/>
      <c r="E19" s="325"/>
      <c r="F19" s="325"/>
      <c r="G19" s="325"/>
      <c r="H19" s="325"/>
      <c r="I19" s="392"/>
      <c r="J19" s="4">
        <v>162</v>
      </c>
      <c r="K19" s="58"/>
      <c r="L19" s="68"/>
    </row>
    <row r="20" spans="1:12" s="3" customFormat="1" ht="14.1" customHeight="1" x14ac:dyDescent="0.2">
      <c r="A20" s="324" t="s">
        <v>373</v>
      </c>
      <c r="B20" s="325"/>
      <c r="C20" s="325"/>
      <c r="D20" s="325"/>
      <c r="E20" s="325"/>
      <c r="F20" s="325"/>
      <c r="G20" s="325"/>
      <c r="H20" s="325"/>
      <c r="I20" s="392"/>
      <c r="J20" s="4">
        <v>163</v>
      </c>
      <c r="K20" s="58"/>
      <c r="L20" s="68"/>
    </row>
    <row r="21" spans="1:12" s="3" customFormat="1" ht="14.1" customHeight="1" x14ac:dyDescent="0.2">
      <c r="A21" s="324" t="s">
        <v>773</v>
      </c>
      <c r="B21" s="325"/>
      <c r="C21" s="325"/>
      <c r="D21" s="325"/>
      <c r="E21" s="325"/>
      <c r="F21" s="325"/>
      <c r="G21" s="325"/>
      <c r="H21" s="325"/>
      <c r="I21" s="392"/>
      <c r="J21" s="4">
        <v>164</v>
      </c>
      <c r="K21" s="58"/>
      <c r="L21" s="68"/>
    </row>
    <row r="22" spans="1:12" s="3" customFormat="1" ht="14.1" customHeight="1" x14ac:dyDescent="0.2">
      <c r="A22" s="324" t="s">
        <v>774</v>
      </c>
      <c r="B22" s="325"/>
      <c r="C22" s="325"/>
      <c r="D22" s="325"/>
      <c r="E22" s="325"/>
      <c r="F22" s="325"/>
      <c r="G22" s="325"/>
      <c r="H22" s="325"/>
      <c r="I22" s="392"/>
      <c r="J22" s="4">
        <v>165</v>
      </c>
      <c r="K22" s="58"/>
      <c r="L22" s="68"/>
    </row>
    <row r="23" spans="1:12" s="3" customFormat="1" ht="14.1" customHeight="1" x14ac:dyDescent="0.2">
      <c r="A23" s="324" t="s">
        <v>2297</v>
      </c>
      <c r="B23" s="325"/>
      <c r="C23" s="325"/>
      <c r="D23" s="325"/>
      <c r="E23" s="325"/>
      <c r="F23" s="325"/>
      <c r="G23" s="325"/>
      <c r="H23" s="325"/>
      <c r="I23" s="392"/>
      <c r="J23" s="4">
        <v>166</v>
      </c>
      <c r="K23" s="58"/>
      <c r="L23" s="68"/>
    </row>
    <row r="24" spans="1:12" s="3" customFormat="1" ht="14.1" customHeight="1" x14ac:dyDescent="0.2">
      <c r="A24" s="324" t="s">
        <v>2298</v>
      </c>
      <c r="B24" s="325"/>
      <c r="C24" s="325"/>
      <c r="D24" s="325"/>
      <c r="E24" s="325"/>
      <c r="F24" s="325"/>
      <c r="G24" s="325"/>
      <c r="H24" s="325"/>
      <c r="I24" s="392"/>
      <c r="J24" s="4">
        <v>167</v>
      </c>
      <c r="K24" s="58"/>
      <c r="L24" s="68"/>
    </row>
    <row r="25" spans="1:12" s="3" customFormat="1" ht="14.1" customHeight="1" x14ac:dyDescent="0.2">
      <c r="A25" s="324" t="s">
        <v>2299</v>
      </c>
      <c r="B25" s="325"/>
      <c r="C25" s="325"/>
      <c r="D25" s="325"/>
      <c r="E25" s="325"/>
      <c r="F25" s="325"/>
      <c r="G25" s="325"/>
      <c r="H25" s="325"/>
      <c r="I25" s="392"/>
      <c r="J25" s="4">
        <v>168</v>
      </c>
      <c r="K25" s="58"/>
      <c r="L25" s="68"/>
    </row>
    <row r="26" spans="1:12" s="3" customFormat="1" ht="14.1" customHeight="1" x14ac:dyDescent="0.2">
      <c r="A26" s="330" t="s">
        <v>2088</v>
      </c>
      <c r="B26" s="331"/>
      <c r="C26" s="331"/>
      <c r="D26" s="331"/>
      <c r="E26" s="331"/>
      <c r="F26" s="331"/>
      <c r="G26" s="331"/>
      <c r="H26" s="331"/>
      <c r="I26" s="408"/>
      <c r="J26" s="4">
        <v>169</v>
      </c>
      <c r="K26" s="59">
        <f>SUM(K10:K25)</f>
        <v>0</v>
      </c>
      <c r="L26" s="67">
        <f>SUM(L10:L25)</f>
        <v>0</v>
      </c>
    </row>
    <row r="27" spans="1:12" s="3" customFormat="1" ht="14.1" customHeight="1" x14ac:dyDescent="0.2">
      <c r="A27" s="324" t="s">
        <v>1108</v>
      </c>
      <c r="B27" s="325"/>
      <c r="C27" s="325"/>
      <c r="D27" s="325"/>
      <c r="E27" s="325"/>
      <c r="F27" s="325"/>
      <c r="G27" s="325"/>
      <c r="H27" s="325"/>
      <c r="I27" s="392"/>
      <c r="J27" s="4">
        <v>170</v>
      </c>
      <c r="K27" s="58"/>
      <c r="L27" s="68"/>
    </row>
    <row r="28" spans="1:12" s="3" customFormat="1" ht="14.1" customHeight="1" x14ac:dyDescent="0.2">
      <c r="A28" s="324" t="s">
        <v>1109</v>
      </c>
      <c r="B28" s="325"/>
      <c r="C28" s="325"/>
      <c r="D28" s="325"/>
      <c r="E28" s="325"/>
      <c r="F28" s="325"/>
      <c r="G28" s="325"/>
      <c r="H28" s="325"/>
      <c r="I28" s="392"/>
      <c r="J28" s="4">
        <v>171</v>
      </c>
      <c r="K28" s="58"/>
      <c r="L28" s="68"/>
    </row>
    <row r="29" spans="1:12" s="3" customFormat="1" ht="14.1" customHeight="1" x14ac:dyDescent="0.2">
      <c r="A29" s="324" t="s">
        <v>1110</v>
      </c>
      <c r="B29" s="325"/>
      <c r="C29" s="325"/>
      <c r="D29" s="325"/>
      <c r="E29" s="325"/>
      <c r="F29" s="325"/>
      <c r="G29" s="325"/>
      <c r="H29" s="325"/>
      <c r="I29" s="392"/>
      <c r="J29" s="4">
        <v>172</v>
      </c>
      <c r="K29" s="58"/>
      <c r="L29" s="68"/>
    </row>
    <row r="30" spans="1:12" s="3" customFormat="1" ht="14.1" customHeight="1" x14ac:dyDescent="0.2">
      <c r="A30" s="324" t="s">
        <v>1111</v>
      </c>
      <c r="B30" s="325"/>
      <c r="C30" s="325"/>
      <c r="D30" s="325"/>
      <c r="E30" s="325"/>
      <c r="F30" s="325"/>
      <c r="G30" s="325"/>
      <c r="H30" s="325"/>
      <c r="I30" s="392"/>
      <c r="J30" s="4">
        <v>173</v>
      </c>
      <c r="K30" s="58"/>
      <c r="L30" s="68"/>
    </row>
    <row r="31" spans="1:12" s="3" customFormat="1" ht="14.1" customHeight="1" x14ac:dyDescent="0.2">
      <c r="A31" s="324" t="s">
        <v>1112</v>
      </c>
      <c r="B31" s="325"/>
      <c r="C31" s="325"/>
      <c r="D31" s="325"/>
      <c r="E31" s="325"/>
      <c r="F31" s="325"/>
      <c r="G31" s="325"/>
      <c r="H31" s="325"/>
      <c r="I31" s="392"/>
      <c r="J31" s="4">
        <v>174</v>
      </c>
      <c r="K31" s="58"/>
      <c r="L31" s="68"/>
    </row>
    <row r="32" spans="1:12" s="3" customFormat="1" ht="14.1" customHeight="1" x14ac:dyDescent="0.2">
      <c r="A32" s="324" t="s">
        <v>1113</v>
      </c>
      <c r="B32" s="325"/>
      <c r="C32" s="325"/>
      <c r="D32" s="325"/>
      <c r="E32" s="325"/>
      <c r="F32" s="325"/>
      <c r="G32" s="325"/>
      <c r="H32" s="325"/>
      <c r="I32" s="392"/>
      <c r="J32" s="4">
        <v>175</v>
      </c>
      <c r="K32" s="58"/>
      <c r="L32" s="68"/>
    </row>
    <row r="33" spans="1:12" s="3" customFormat="1" ht="14.1" customHeight="1" x14ac:dyDescent="0.2">
      <c r="A33" s="324" t="s">
        <v>2596</v>
      </c>
      <c r="B33" s="325"/>
      <c r="C33" s="325"/>
      <c r="D33" s="325"/>
      <c r="E33" s="325"/>
      <c r="F33" s="325"/>
      <c r="G33" s="325"/>
      <c r="H33" s="325"/>
      <c r="I33" s="392"/>
      <c r="J33" s="4">
        <v>176</v>
      </c>
      <c r="K33" s="58"/>
      <c r="L33" s="68"/>
    </row>
    <row r="34" spans="1:12" s="3" customFormat="1" ht="14.1" customHeight="1" x14ac:dyDescent="0.2">
      <c r="A34" s="324" t="s">
        <v>2597</v>
      </c>
      <c r="B34" s="325"/>
      <c r="C34" s="325"/>
      <c r="D34" s="325"/>
      <c r="E34" s="325"/>
      <c r="F34" s="325"/>
      <c r="G34" s="325"/>
      <c r="H34" s="325"/>
      <c r="I34" s="392"/>
      <c r="J34" s="4">
        <v>177</v>
      </c>
      <c r="K34" s="58"/>
      <c r="L34" s="68"/>
    </row>
    <row r="35" spans="1:12" s="3" customFormat="1" ht="14.1" customHeight="1" x14ac:dyDescent="0.2">
      <c r="A35" s="324" t="s">
        <v>2598</v>
      </c>
      <c r="B35" s="325"/>
      <c r="C35" s="325"/>
      <c r="D35" s="325"/>
      <c r="E35" s="325"/>
      <c r="F35" s="325"/>
      <c r="G35" s="325"/>
      <c r="H35" s="325"/>
      <c r="I35" s="392"/>
      <c r="J35" s="4">
        <v>178</v>
      </c>
      <c r="K35" s="58"/>
      <c r="L35" s="68"/>
    </row>
    <row r="36" spans="1:12" s="3" customFormat="1" ht="14.1" customHeight="1" x14ac:dyDescent="0.2">
      <c r="A36" s="324" t="s">
        <v>1231</v>
      </c>
      <c r="B36" s="325"/>
      <c r="C36" s="325"/>
      <c r="D36" s="325"/>
      <c r="E36" s="325"/>
      <c r="F36" s="325"/>
      <c r="G36" s="325"/>
      <c r="H36" s="325"/>
      <c r="I36" s="392"/>
      <c r="J36" s="4">
        <v>179</v>
      </c>
      <c r="K36" s="58"/>
      <c r="L36" s="68"/>
    </row>
    <row r="37" spans="1:12" s="3" customFormat="1" ht="14.1" customHeight="1" x14ac:dyDescent="0.2">
      <c r="A37" s="324" t="s">
        <v>1232</v>
      </c>
      <c r="B37" s="325"/>
      <c r="C37" s="325"/>
      <c r="D37" s="325"/>
      <c r="E37" s="325"/>
      <c r="F37" s="325"/>
      <c r="G37" s="325"/>
      <c r="H37" s="325"/>
      <c r="I37" s="392"/>
      <c r="J37" s="4">
        <v>180</v>
      </c>
      <c r="K37" s="58"/>
      <c r="L37" s="68"/>
    </row>
    <row r="38" spans="1:12" s="3" customFormat="1" ht="14.1" customHeight="1" x14ac:dyDescent="0.2">
      <c r="A38" s="324" t="s">
        <v>1233</v>
      </c>
      <c r="B38" s="325"/>
      <c r="C38" s="325"/>
      <c r="D38" s="325"/>
      <c r="E38" s="325"/>
      <c r="F38" s="325"/>
      <c r="G38" s="325"/>
      <c r="H38" s="325"/>
      <c r="I38" s="392"/>
      <c r="J38" s="4">
        <v>181</v>
      </c>
      <c r="K38" s="58"/>
      <c r="L38" s="68"/>
    </row>
    <row r="39" spans="1:12" s="3" customFormat="1" ht="14.1" customHeight="1" x14ac:dyDescent="0.2">
      <c r="A39" s="324" t="s">
        <v>1234</v>
      </c>
      <c r="B39" s="325"/>
      <c r="C39" s="325"/>
      <c r="D39" s="325"/>
      <c r="E39" s="325"/>
      <c r="F39" s="325"/>
      <c r="G39" s="325"/>
      <c r="H39" s="325"/>
      <c r="I39" s="392"/>
      <c r="J39" s="4">
        <v>182</v>
      </c>
      <c r="K39" s="58"/>
      <c r="L39" s="68"/>
    </row>
    <row r="40" spans="1:12" s="3" customFormat="1" ht="14.1" customHeight="1" x14ac:dyDescent="0.2">
      <c r="A40" s="324" t="s">
        <v>1235</v>
      </c>
      <c r="B40" s="325"/>
      <c r="C40" s="325"/>
      <c r="D40" s="325"/>
      <c r="E40" s="325"/>
      <c r="F40" s="325"/>
      <c r="G40" s="325"/>
      <c r="H40" s="325"/>
      <c r="I40" s="392"/>
      <c r="J40" s="4">
        <v>183</v>
      </c>
      <c r="K40" s="58"/>
      <c r="L40" s="68"/>
    </row>
    <row r="41" spans="1:12" s="3" customFormat="1" ht="14.1" customHeight="1" x14ac:dyDescent="0.2">
      <c r="A41" s="324" t="s">
        <v>1236</v>
      </c>
      <c r="B41" s="325"/>
      <c r="C41" s="325"/>
      <c r="D41" s="325"/>
      <c r="E41" s="325"/>
      <c r="F41" s="325"/>
      <c r="G41" s="325"/>
      <c r="H41" s="325"/>
      <c r="I41" s="392"/>
      <c r="J41" s="4">
        <v>184</v>
      </c>
      <c r="K41" s="58"/>
      <c r="L41" s="68"/>
    </row>
    <row r="42" spans="1:12" s="3" customFormat="1" ht="14.1" customHeight="1" x14ac:dyDescent="0.2">
      <c r="A42" s="324" t="s">
        <v>1237</v>
      </c>
      <c r="B42" s="325"/>
      <c r="C42" s="325"/>
      <c r="D42" s="325"/>
      <c r="E42" s="325"/>
      <c r="F42" s="325"/>
      <c r="G42" s="325"/>
      <c r="H42" s="325"/>
      <c r="I42" s="392"/>
      <c r="J42" s="4">
        <v>185</v>
      </c>
      <c r="K42" s="58"/>
      <c r="L42" s="68"/>
    </row>
    <row r="43" spans="1:12" s="3" customFormat="1" ht="14.1" customHeight="1" x14ac:dyDescent="0.2">
      <c r="A43" s="324" t="s">
        <v>1238</v>
      </c>
      <c r="B43" s="325"/>
      <c r="C43" s="325"/>
      <c r="D43" s="325"/>
      <c r="E43" s="325"/>
      <c r="F43" s="325"/>
      <c r="G43" s="325"/>
      <c r="H43" s="325"/>
      <c r="I43" s="392"/>
      <c r="J43" s="4">
        <v>186</v>
      </c>
      <c r="K43" s="58"/>
      <c r="L43" s="68"/>
    </row>
    <row r="44" spans="1:12" s="3" customFormat="1" ht="14.1" customHeight="1" x14ac:dyDescent="0.2">
      <c r="A44" s="324" t="s">
        <v>1239</v>
      </c>
      <c r="B44" s="325"/>
      <c r="C44" s="325"/>
      <c r="D44" s="325"/>
      <c r="E44" s="325"/>
      <c r="F44" s="325"/>
      <c r="G44" s="325"/>
      <c r="H44" s="325"/>
      <c r="I44" s="392"/>
      <c r="J44" s="4">
        <v>187</v>
      </c>
      <c r="K44" s="58"/>
      <c r="L44" s="68"/>
    </row>
    <row r="45" spans="1:12" s="3" customFormat="1" ht="14.1" customHeight="1" x14ac:dyDescent="0.2">
      <c r="A45" s="330" t="s">
        <v>2089</v>
      </c>
      <c r="B45" s="331"/>
      <c r="C45" s="331"/>
      <c r="D45" s="331"/>
      <c r="E45" s="331"/>
      <c r="F45" s="331"/>
      <c r="G45" s="331"/>
      <c r="H45" s="331"/>
      <c r="I45" s="408"/>
      <c r="J45" s="4">
        <v>188</v>
      </c>
      <c r="K45" s="59">
        <f>SUM(K27:K44)</f>
        <v>0</v>
      </c>
      <c r="L45" s="67">
        <f>SUM(L27:L44)</f>
        <v>0</v>
      </c>
    </row>
    <row r="46" spans="1:12" s="3" customFormat="1" ht="14.1" customHeight="1" x14ac:dyDescent="0.2">
      <c r="A46" s="324" t="s">
        <v>2104</v>
      </c>
      <c r="B46" s="325"/>
      <c r="C46" s="325"/>
      <c r="D46" s="325"/>
      <c r="E46" s="325"/>
      <c r="F46" s="325"/>
      <c r="G46" s="325"/>
      <c r="H46" s="325"/>
      <c r="I46" s="392"/>
      <c r="J46" s="4">
        <v>189</v>
      </c>
      <c r="K46" s="58"/>
      <c r="L46" s="68"/>
    </row>
    <row r="47" spans="1:12" s="3" customFormat="1" ht="14.1" customHeight="1" x14ac:dyDescent="0.2">
      <c r="A47" s="324" t="s">
        <v>805</v>
      </c>
      <c r="B47" s="325"/>
      <c r="C47" s="325"/>
      <c r="D47" s="325"/>
      <c r="E47" s="325"/>
      <c r="F47" s="325"/>
      <c r="G47" s="325"/>
      <c r="H47" s="325"/>
      <c r="I47" s="392"/>
      <c r="J47" s="4">
        <v>190</v>
      </c>
      <c r="K47" s="58"/>
      <c r="L47" s="68"/>
    </row>
    <row r="48" spans="1:12" s="3" customFormat="1" ht="14.1" customHeight="1" x14ac:dyDescent="0.2">
      <c r="A48" s="324" t="s">
        <v>1240</v>
      </c>
      <c r="B48" s="325"/>
      <c r="C48" s="325"/>
      <c r="D48" s="325"/>
      <c r="E48" s="325"/>
      <c r="F48" s="325"/>
      <c r="G48" s="325"/>
      <c r="H48" s="325"/>
      <c r="I48" s="392"/>
      <c r="J48" s="4">
        <v>191</v>
      </c>
      <c r="K48" s="58"/>
      <c r="L48" s="68"/>
    </row>
    <row r="49" spans="1:12" s="3" customFormat="1" ht="14.1" customHeight="1" x14ac:dyDescent="0.2">
      <c r="A49" s="324" t="s">
        <v>806</v>
      </c>
      <c r="B49" s="325"/>
      <c r="C49" s="325"/>
      <c r="D49" s="325"/>
      <c r="E49" s="325"/>
      <c r="F49" s="325"/>
      <c r="G49" s="325"/>
      <c r="H49" s="325"/>
      <c r="I49" s="392"/>
      <c r="J49" s="4">
        <v>192</v>
      </c>
      <c r="K49" s="58"/>
      <c r="L49" s="68"/>
    </row>
    <row r="50" spans="1:12" s="3" customFormat="1" ht="14.1" customHeight="1" x14ac:dyDescent="0.2">
      <c r="A50" s="324" t="s">
        <v>807</v>
      </c>
      <c r="B50" s="325"/>
      <c r="C50" s="325"/>
      <c r="D50" s="325"/>
      <c r="E50" s="325"/>
      <c r="F50" s="325"/>
      <c r="G50" s="325"/>
      <c r="H50" s="325"/>
      <c r="I50" s="392"/>
      <c r="J50" s="4">
        <v>193</v>
      </c>
      <c r="K50" s="58"/>
      <c r="L50" s="68"/>
    </row>
    <row r="51" spans="1:12" s="3" customFormat="1" ht="14.1" customHeight="1" x14ac:dyDescent="0.2">
      <c r="A51" s="330" t="s">
        <v>2090</v>
      </c>
      <c r="B51" s="331"/>
      <c r="C51" s="331"/>
      <c r="D51" s="331"/>
      <c r="E51" s="331"/>
      <c r="F51" s="331"/>
      <c r="G51" s="331"/>
      <c r="H51" s="331"/>
      <c r="I51" s="408"/>
      <c r="J51" s="4">
        <v>194</v>
      </c>
      <c r="K51" s="59">
        <f>SUM(K46:K50)</f>
        <v>0</v>
      </c>
      <c r="L51" s="67">
        <f>SUM(L46:L50)</f>
        <v>0</v>
      </c>
    </row>
    <row r="52" spans="1:12" s="3" customFormat="1" ht="14.1" customHeight="1" x14ac:dyDescent="0.2">
      <c r="A52" s="324" t="s">
        <v>808</v>
      </c>
      <c r="B52" s="325"/>
      <c r="C52" s="325"/>
      <c r="D52" s="325"/>
      <c r="E52" s="325"/>
      <c r="F52" s="325"/>
      <c r="G52" s="325"/>
      <c r="H52" s="325"/>
      <c r="I52" s="392"/>
      <c r="J52" s="4">
        <v>195</v>
      </c>
      <c r="K52" s="58"/>
      <c r="L52" s="68"/>
    </row>
    <row r="53" spans="1:12" s="3" customFormat="1" ht="14.1" customHeight="1" x14ac:dyDescent="0.2">
      <c r="A53" s="324" t="s">
        <v>809</v>
      </c>
      <c r="B53" s="325"/>
      <c r="C53" s="325"/>
      <c r="D53" s="325"/>
      <c r="E53" s="325"/>
      <c r="F53" s="325"/>
      <c r="G53" s="325"/>
      <c r="H53" s="325"/>
      <c r="I53" s="392"/>
      <c r="J53" s="4">
        <v>196</v>
      </c>
      <c r="K53" s="58"/>
      <c r="L53" s="68"/>
    </row>
    <row r="54" spans="1:12" s="3" customFormat="1" ht="14.1" customHeight="1" x14ac:dyDescent="0.2">
      <c r="A54" s="324" t="s">
        <v>810</v>
      </c>
      <c r="B54" s="325"/>
      <c r="C54" s="325"/>
      <c r="D54" s="325"/>
      <c r="E54" s="325"/>
      <c r="F54" s="325"/>
      <c r="G54" s="325"/>
      <c r="H54" s="325"/>
      <c r="I54" s="392"/>
      <c r="J54" s="4">
        <v>197</v>
      </c>
      <c r="K54" s="58"/>
      <c r="L54" s="68"/>
    </row>
    <row r="55" spans="1:12" s="3" customFormat="1" ht="14.1" customHeight="1" x14ac:dyDescent="0.2">
      <c r="A55" s="324" t="s">
        <v>811</v>
      </c>
      <c r="B55" s="325"/>
      <c r="C55" s="325"/>
      <c r="D55" s="325"/>
      <c r="E55" s="325"/>
      <c r="F55" s="325"/>
      <c r="G55" s="325"/>
      <c r="H55" s="325"/>
      <c r="I55" s="392"/>
      <c r="J55" s="4">
        <v>198</v>
      </c>
      <c r="K55" s="58"/>
      <c r="L55" s="68"/>
    </row>
    <row r="56" spans="1:12" s="3" customFormat="1" ht="14.1" customHeight="1" x14ac:dyDescent="0.2">
      <c r="A56" s="324" t="s">
        <v>812</v>
      </c>
      <c r="B56" s="325"/>
      <c r="C56" s="325"/>
      <c r="D56" s="325"/>
      <c r="E56" s="325"/>
      <c r="F56" s="325"/>
      <c r="G56" s="325"/>
      <c r="H56" s="325"/>
      <c r="I56" s="392"/>
      <c r="J56" s="4">
        <v>199</v>
      </c>
      <c r="K56" s="58"/>
      <c r="L56" s="68"/>
    </row>
    <row r="57" spans="1:12" s="3" customFormat="1" ht="14.1" customHeight="1" x14ac:dyDescent="0.2">
      <c r="A57" s="324" t="s">
        <v>813</v>
      </c>
      <c r="B57" s="325"/>
      <c r="C57" s="325"/>
      <c r="D57" s="325"/>
      <c r="E57" s="325"/>
      <c r="F57" s="325"/>
      <c r="G57" s="325"/>
      <c r="H57" s="325"/>
      <c r="I57" s="392"/>
      <c r="J57" s="4">
        <v>200</v>
      </c>
      <c r="K57" s="58"/>
      <c r="L57" s="68"/>
    </row>
    <row r="58" spans="1:12" s="3" customFormat="1" ht="14.1" customHeight="1" x14ac:dyDescent="0.2">
      <c r="A58" s="330" t="s">
        <v>2091</v>
      </c>
      <c r="B58" s="331"/>
      <c r="C58" s="331"/>
      <c r="D58" s="331"/>
      <c r="E58" s="331"/>
      <c r="F58" s="331"/>
      <c r="G58" s="331"/>
      <c r="H58" s="331"/>
      <c r="I58" s="408"/>
      <c r="J58" s="4">
        <v>201</v>
      </c>
      <c r="K58" s="59">
        <f>SUM(K52:K57)</f>
        <v>0</v>
      </c>
      <c r="L58" s="67">
        <f>SUM(L52:L57)</f>
        <v>0</v>
      </c>
    </row>
    <row r="59" spans="1:12" s="3" customFormat="1" ht="14.1" customHeight="1" x14ac:dyDescent="0.2">
      <c r="A59" s="324" t="s">
        <v>814</v>
      </c>
      <c r="B59" s="325"/>
      <c r="C59" s="325"/>
      <c r="D59" s="325"/>
      <c r="E59" s="325"/>
      <c r="F59" s="325"/>
      <c r="G59" s="325"/>
      <c r="H59" s="325"/>
      <c r="I59" s="392"/>
      <c r="J59" s="4">
        <v>202</v>
      </c>
      <c r="K59" s="58"/>
      <c r="L59" s="68"/>
    </row>
    <row r="60" spans="1:12" s="3" customFormat="1" ht="14.1" customHeight="1" x14ac:dyDescent="0.2">
      <c r="A60" s="324" t="s">
        <v>84</v>
      </c>
      <c r="B60" s="325"/>
      <c r="C60" s="325"/>
      <c r="D60" s="325"/>
      <c r="E60" s="325"/>
      <c r="F60" s="325"/>
      <c r="G60" s="325"/>
      <c r="H60" s="325"/>
      <c r="I60" s="392"/>
      <c r="J60" s="4">
        <v>203</v>
      </c>
      <c r="K60" s="58"/>
      <c r="L60" s="68"/>
    </row>
    <row r="61" spans="1:12" s="3" customFormat="1" ht="14.1" customHeight="1" x14ac:dyDescent="0.2">
      <c r="A61" s="324" t="s">
        <v>815</v>
      </c>
      <c r="B61" s="325"/>
      <c r="C61" s="325"/>
      <c r="D61" s="325"/>
      <c r="E61" s="325"/>
      <c r="F61" s="325"/>
      <c r="G61" s="325"/>
      <c r="H61" s="325"/>
      <c r="I61" s="392"/>
      <c r="J61" s="4">
        <v>204</v>
      </c>
      <c r="K61" s="58"/>
      <c r="L61" s="68"/>
    </row>
    <row r="62" spans="1:12" s="3" customFormat="1" ht="14.1" customHeight="1" x14ac:dyDescent="0.2">
      <c r="A62" s="324" t="s">
        <v>816</v>
      </c>
      <c r="B62" s="325"/>
      <c r="C62" s="325"/>
      <c r="D62" s="325"/>
      <c r="E62" s="325"/>
      <c r="F62" s="325"/>
      <c r="G62" s="325"/>
      <c r="H62" s="325"/>
      <c r="I62" s="392"/>
      <c r="J62" s="4">
        <v>205</v>
      </c>
      <c r="K62" s="58"/>
      <c r="L62" s="68"/>
    </row>
    <row r="63" spans="1:12" s="3" customFormat="1" ht="14.1" customHeight="1" x14ac:dyDescent="0.2">
      <c r="A63" s="324" t="s">
        <v>85</v>
      </c>
      <c r="B63" s="325"/>
      <c r="C63" s="325"/>
      <c r="D63" s="325"/>
      <c r="E63" s="325"/>
      <c r="F63" s="325"/>
      <c r="G63" s="325"/>
      <c r="H63" s="325"/>
      <c r="I63" s="392"/>
      <c r="J63" s="4">
        <v>206</v>
      </c>
      <c r="K63" s="58"/>
      <c r="L63" s="68"/>
    </row>
    <row r="64" spans="1:12" s="3" customFormat="1" ht="14.1" customHeight="1" x14ac:dyDescent="0.2">
      <c r="A64" s="324" t="s">
        <v>817</v>
      </c>
      <c r="B64" s="325"/>
      <c r="C64" s="325"/>
      <c r="D64" s="325"/>
      <c r="E64" s="325"/>
      <c r="F64" s="325"/>
      <c r="G64" s="325"/>
      <c r="H64" s="325"/>
      <c r="I64" s="392"/>
      <c r="J64" s="4">
        <v>207</v>
      </c>
      <c r="K64" s="58"/>
      <c r="L64" s="68"/>
    </row>
    <row r="65" spans="1:12" s="3" customFormat="1" ht="14.1" customHeight="1" x14ac:dyDescent="0.2">
      <c r="A65" s="370" t="s">
        <v>2092</v>
      </c>
      <c r="B65" s="371"/>
      <c r="C65" s="371"/>
      <c r="D65" s="371"/>
      <c r="E65" s="371"/>
      <c r="F65" s="371"/>
      <c r="G65" s="371"/>
      <c r="H65" s="371"/>
      <c r="I65" s="407"/>
      <c r="J65" s="5">
        <v>208</v>
      </c>
      <c r="K65" s="59">
        <f>SUM(K59:K64)</f>
        <v>0</v>
      </c>
      <c r="L65" s="67">
        <f>SUM(L59:L64)</f>
        <v>0</v>
      </c>
    </row>
    <row r="66" spans="1:12" s="3" customFormat="1" ht="15" customHeight="1" x14ac:dyDescent="0.2">
      <c r="A66" s="401" t="s">
        <v>2093</v>
      </c>
      <c r="B66" s="402"/>
      <c r="C66" s="402"/>
      <c r="D66" s="402"/>
      <c r="E66" s="402"/>
      <c r="F66" s="402"/>
      <c r="G66" s="402"/>
      <c r="H66" s="402"/>
      <c r="I66" s="403"/>
      <c r="J66" s="404"/>
      <c r="K66" s="404"/>
      <c r="L66" s="405"/>
    </row>
    <row r="67" spans="1:12" s="3" customFormat="1" ht="14.1" customHeight="1" x14ac:dyDescent="0.2">
      <c r="A67" s="410" t="s">
        <v>818</v>
      </c>
      <c r="B67" s="411"/>
      <c r="C67" s="411"/>
      <c r="D67" s="411"/>
      <c r="E67" s="411"/>
      <c r="F67" s="411"/>
      <c r="G67" s="411"/>
      <c r="H67" s="411"/>
      <c r="I67" s="412"/>
      <c r="J67" s="6">
        <v>209</v>
      </c>
      <c r="K67" s="61"/>
      <c r="L67" s="137"/>
    </row>
    <row r="68" spans="1:12" s="3" customFormat="1" ht="14.1" customHeight="1" x14ac:dyDescent="0.2">
      <c r="A68" s="324" t="s">
        <v>819</v>
      </c>
      <c r="B68" s="325"/>
      <c r="C68" s="325"/>
      <c r="D68" s="325"/>
      <c r="E68" s="325"/>
      <c r="F68" s="325"/>
      <c r="G68" s="325"/>
      <c r="H68" s="325"/>
      <c r="I68" s="392"/>
      <c r="J68" s="4">
        <v>210</v>
      </c>
      <c r="K68" s="58"/>
      <c r="L68" s="68"/>
    </row>
    <row r="69" spans="1:12" s="3" customFormat="1" ht="14.1" customHeight="1" x14ac:dyDescent="0.2">
      <c r="A69" s="324" t="s">
        <v>820</v>
      </c>
      <c r="B69" s="325"/>
      <c r="C69" s="325"/>
      <c r="D69" s="325"/>
      <c r="E69" s="325"/>
      <c r="F69" s="325"/>
      <c r="G69" s="325"/>
      <c r="H69" s="325"/>
      <c r="I69" s="392"/>
      <c r="J69" s="4">
        <v>211</v>
      </c>
      <c r="K69" s="58"/>
      <c r="L69" s="68"/>
    </row>
    <row r="70" spans="1:12" s="3" customFormat="1" ht="14.1" customHeight="1" x14ac:dyDescent="0.2">
      <c r="A70" s="330" t="s">
        <v>2094</v>
      </c>
      <c r="B70" s="331"/>
      <c r="C70" s="331"/>
      <c r="D70" s="331"/>
      <c r="E70" s="331"/>
      <c r="F70" s="331"/>
      <c r="G70" s="331"/>
      <c r="H70" s="331"/>
      <c r="I70" s="408"/>
      <c r="J70" s="4">
        <v>212</v>
      </c>
      <c r="K70" s="59">
        <f>SUM(K67:K69)</f>
        <v>0</v>
      </c>
      <c r="L70" s="67">
        <f>SUM(L67:L69)</f>
        <v>0</v>
      </c>
    </row>
    <row r="71" spans="1:12" s="3" customFormat="1" ht="14.1" customHeight="1" x14ac:dyDescent="0.2">
      <c r="A71" s="324" t="s">
        <v>821</v>
      </c>
      <c r="B71" s="325"/>
      <c r="C71" s="325"/>
      <c r="D71" s="325"/>
      <c r="E71" s="325"/>
      <c r="F71" s="325"/>
      <c r="G71" s="325"/>
      <c r="H71" s="325"/>
      <c r="I71" s="392"/>
      <c r="J71" s="4">
        <v>213</v>
      </c>
      <c r="K71" s="58"/>
      <c r="L71" s="68"/>
    </row>
    <row r="72" spans="1:12" s="3" customFormat="1" ht="14.1" customHeight="1" x14ac:dyDescent="0.2">
      <c r="A72" s="324" t="s">
        <v>822</v>
      </c>
      <c r="B72" s="325"/>
      <c r="C72" s="325"/>
      <c r="D72" s="325"/>
      <c r="E72" s="325"/>
      <c r="F72" s="325"/>
      <c r="G72" s="325"/>
      <c r="H72" s="325"/>
      <c r="I72" s="392"/>
      <c r="J72" s="4">
        <v>214</v>
      </c>
      <c r="K72" s="58"/>
      <c r="L72" s="68"/>
    </row>
    <row r="73" spans="1:12" s="3" customFormat="1" ht="14.1" customHeight="1" x14ac:dyDescent="0.2">
      <c r="A73" s="324" t="s">
        <v>823</v>
      </c>
      <c r="B73" s="325"/>
      <c r="C73" s="325"/>
      <c r="D73" s="325"/>
      <c r="E73" s="325"/>
      <c r="F73" s="325"/>
      <c r="G73" s="325"/>
      <c r="H73" s="325"/>
      <c r="I73" s="392"/>
      <c r="J73" s="4">
        <v>215</v>
      </c>
      <c r="K73" s="58"/>
      <c r="L73" s="68"/>
    </row>
    <row r="74" spans="1:12" s="3" customFormat="1" ht="14.1" customHeight="1" x14ac:dyDescent="0.2">
      <c r="A74" s="324" t="s">
        <v>824</v>
      </c>
      <c r="B74" s="325"/>
      <c r="C74" s="325"/>
      <c r="D74" s="325"/>
      <c r="E74" s="325"/>
      <c r="F74" s="325"/>
      <c r="G74" s="325"/>
      <c r="H74" s="325"/>
      <c r="I74" s="392"/>
      <c r="J74" s="4">
        <v>216</v>
      </c>
      <c r="K74" s="58"/>
      <c r="L74" s="68"/>
    </row>
    <row r="75" spans="1:12" s="3" customFormat="1" ht="14.1" customHeight="1" x14ac:dyDescent="0.2">
      <c r="A75" s="324" t="s">
        <v>825</v>
      </c>
      <c r="B75" s="325"/>
      <c r="C75" s="325"/>
      <c r="D75" s="325"/>
      <c r="E75" s="325"/>
      <c r="F75" s="325"/>
      <c r="G75" s="325"/>
      <c r="H75" s="325"/>
      <c r="I75" s="392"/>
      <c r="J75" s="4">
        <v>217</v>
      </c>
      <c r="K75" s="58"/>
      <c r="L75" s="68"/>
    </row>
    <row r="76" spans="1:12" s="3" customFormat="1" ht="14.1" customHeight="1" x14ac:dyDescent="0.2">
      <c r="A76" s="324" t="s">
        <v>2514</v>
      </c>
      <c r="B76" s="325"/>
      <c r="C76" s="325"/>
      <c r="D76" s="325"/>
      <c r="E76" s="325"/>
      <c r="F76" s="325"/>
      <c r="G76" s="325"/>
      <c r="H76" s="325"/>
      <c r="I76" s="392"/>
      <c r="J76" s="4">
        <v>218</v>
      </c>
      <c r="K76" s="58"/>
      <c r="L76" s="68"/>
    </row>
    <row r="77" spans="1:12" s="3" customFormat="1" ht="14.1" customHeight="1" x14ac:dyDescent="0.2">
      <c r="A77" s="370" t="s">
        <v>2095</v>
      </c>
      <c r="B77" s="371"/>
      <c r="C77" s="371"/>
      <c r="D77" s="371"/>
      <c r="E77" s="371"/>
      <c r="F77" s="371"/>
      <c r="G77" s="371"/>
      <c r="H77" s="371"/>
      <c r="I77" s="407"/>
      <c r="J77" s="5">
        <v>219</v>
      </c>
      <c r="K77" s="59">
        <f>SUM(K71:K76)</f>
        <v>0</v>
      </c>
      <c r="L77" s="67">
        <f>SUM(L71:L76)</f>
        <v>0</v>
      </c>
    </row>
    <row r="78" spans="1:12" s="3" customFormat="1" ht="15" customHeight="1" x14ac:dyDescent="0.2">
      <c r="A78" s="401" t="s">
        <v>2086</v>
      </c>
      <c r="B78" s="402"/>
      <c r="C78" s="402"/>
      <c r="D78" s="402"/>
      <c r="E78" s="402"/>
      <c r="F78" s="402"/>
      <c r="G78" s="402"/>
      <c r="H78" s="402"/>
      <c r="I78" s="403"/>
      <c r="J78" s="403"/>
      <c r="K78" s="403"/>
      <c r="L78" s="406"/>
    </row>
    <row r="79" spans="1:12" s="3" customFormat="1" ht="14.1" customHeight="1" x14ac:dyDescent="0.2">
      <c r="A79" s="410" t="s">
        <v>1602</v>
      </c>
      <c r="B79" s="411"/>
      <c r="C79" s="411"/>
      <c r="D79" s="411"/>
      <c r="E79" s="411"/>
      <c r="F79" s="411"/>
      <c r="G79" s="411"/>
      <c r="H79" s="411"/>
      <c r="I79" s="412"/>
      <c r="J79" s="6">
        <v>220</v>
      </c>
      <c r="K79" s="61"/>
      <c r="L79" s="137"/>
    </row>
    <row r="80" spans="1:12" s="3" customFormat="1" ht="27.95" customHeight="1" x14ac:dyDescent="0.2">
      <c r="A80" s="324" t="s">
        <v>86</v>
      </c>
      <c r="B80" s="325"/>
      <c r="C80" s="325"/>
      <c r="D80" s="325"/>
      <c r="E80" s="325"/>
      <c r="F80" s="325"/>
      <c r="G80" s="325"/>
      <c r="H80" s="325"/>
      <c r="I80" s="392"/>
      <c r="J80" s="4">
        <v>221</v>
      </c>
      <c r="K80" s="58"/>
      <c r="L80" s="68"/>
    </row>
    <row r="81" spans="1:12" s="3" customFormat="1" ht="14.1" customHeight="1" x14ac:dyDescent="0.2">
      <c r="A81" s="324" t="s">
        <v>1603</v>
      </c>
      <c r="B81" s="325"/>
      <c r="C81" s="325"/>
      <c r="D81" s="325"/>
      <c r="E81" s="325"/>
      <c r="F81" s="325"/>
      <c r="G81" s="325"/>
      <c r="H81" s="325"/>
      <c r="I81" s="392"/>
      <c r="J81" s="4">
        <v>222</v>
      </c>
      <c r="K81" s="58"/>
      <c r="L81" s="68"/>
    </row>
    <row r="82" spans="1:12" s="3" customFormat="1" ht="14.1" customHeight="1" x14ac:dyDescent="0.2">
      <c r="A82" s="324" t="s">
        <v>1604</v>
      </c>
      <c r="B82" s="325"/>
      <c r="C82" s="325"/>
      <c r="D82" s="325"/>
      <c r="E82" s="325"/>
      <c r="F82" s="325"/>
      <c r="G82" s="325"/>
      <c r="H82" s="325"/>
      <c r="I82" s="392"/>
      <c r="J82" s="4">
        <v>223</v>
      </c>
      <c r="K82" s="58"/>
      <c r="L82" s="68"/>
    </row>
    <row r="83" spans="1:12" s="3" customFormat="1" ht="14.1" customHeight="1" x14ac:dyDescent="0.2">
      <c r="A83" s="324" t="s">
        <v>1605</v>
      </c>
      <c r="B83" s="325"/>
      <c r="C83" s="325"/>
      <c r="D83" s="325"/>
      <c r="E83" s="325"/>
      <c r="F83" s="325"/>
      <c r="G83" s="325"/>
      <c r="H83" s="325"/>
      <c r="I83" s="392"/>
      <c r="J83" s="4">
        <v>224</v>
      </c>
      <c r="K83" s="58"/>
      <c r="L83" s="68"/>
    </row>
    <row r="84" spans="1:12" s="3" customFormat="1" ht="14.1" customHeight="1" x14ac:dyDescent="0.2">
      <c r="A84" s="324" t="s">
        <v>475</v>
      </c>
      <c r="B84" s="325"/>
      <c r="C84" s="325"/>
      <c r="D84" s="325"/>
      <c r="E84" s="325"/>
      <c r="F84" s="325"/>
      <c r="G84" s="325"/>
      <c r="H84" s="325"/>
      <c r="I84" s="392"/>
      <c r="J84" s="4">
        <v>225</v>
      </c>
      <c r="K84" s="58"/>
      <c r="L84" s="68"/>
    </row>
    <row r="85" spans="1:12" s="3" customFormat="1" ht="14.1" customHeight="1" x14ac:dyDescent="0.2">
      <c r="A85" s="324" t="s">
        <v>476</v>
      </c>
      <c r="B85" s="325"/>
      <c r="C85" s="325"/>
      <c r="D85" s="325"/>
      <c r="E85" s="325"/>
      <c r="F85" s="325"/>
      <c r="G85" s="325"/>
      <c r="H85" s="325"/>
      <c r="I85" s="392"/>
      <c r="J85" s="4">
        <v>226</v>
      </c>
      <c r="K85" s="58"/>
      <c r="L85" s="68"/>
    </row>
    <row r="86" spans="1:12" s="3" customFormat="1" ht="14.1" customHeight="1" x14ac:dyDescent="0.2">
      <c r="A86" s="324" t="s">
        <v>477</v>
      </c>
      <c r="B86" s="325"/>
      <c r="C86" s="325"/>
      <c r="D86" s="325"/>
      <c r="E86" s="325"/>
      <c r="F86" s="325"/>
      <c r="G86" s="325"/>
      <c r="H86" s="325"/>
      <c r="I86" s="392"/>
      <c r="J86" s="4">
        <v>227</v>
      </c>
      <c r="K86" s="58"/>
      <c r="L86" s="68"/>
    </row>
    <row r="87" spans="1:12" s="3" customFormat="1" ht="14.1" customHeight="1" x14ac:dyDescent="0.2">
      <c r="A87" s="324" t="s">
        <v>478</v>
      </c>
      <c r="B87" s="325"/>
      <c r="C87" s="325"/>
      <c r="D87" s="325"/>
      <c r="E87" s="325"/>
      <c r="F87" s="325"/>
      <c r="G87" s="325"/>
      <c r="H87" s="325"/>
      <c r="I87" s="392"/>
      <c r="J87" s="4">
        <v>228</v>
      </c>
      <c r="K87" s="58"/>
      <c r="L87" s="68"/>
    </row>
    <row r="88" spans="1:12" s="3" customFormat="1" ht="14.1" customHeight="1" x14ac:dyDescent="0.2">
      <c r="A88" s="324" t="s">
        <v>479</v>
      </c>
      <c r="B88" s="325"/>
      <c r="C88" s="325"/>
      <c r="D88" s="325"/>
      <c r="E88" s="325"/>
      <c r="F88" s="325"/>
      <c r="G88" s="325"/>
      <c r="H88" s="325"/>
      <c r="I88" s="392"/>
      <c r="J88" s="4">
        <v>229</v>
      </c>
      <c r="K88" s="58"/>
      <c r="L88" s="68"/>
    </row>
    <row r="89" spans="1:12" s="3" customFormat="1" ht="14.1" customHeight="1" x14ac:dyDescent="0.2">
      <c r="A89" s="324" t="s">
        <v>480</v>
      </c>
      <c r="B89" s="325"/>
      <c r="C89" s="325"/>
      <c r="D89" s="325"/>
      <c r="E89" s="325"/>
      <c r="F89" s="325"/>
      <c r="G89" s="325"/>
      <c r="H89" s="325"/>
      <c r="I89" s="392"/>
      <c r="J89" s="4">
        <v>230</v>
      </c>
      <c r="K89" s="58"/>
      <c r="L89" s="68"/>
    </row>
    <row r="90" spans="1:12" s="3" customFormat="1" ht="14.1" customHeight="1" x14ac:dyDescent="0.2">
      <c r="A90" s="324" t="s">
        <v>481</v>
      </c>
      <c r="B90" s="325"/>
      <c r="C90" s="325"/>
      <c r="D90" s="325"/>
      <c r="E90" s="325"/>
      <c r="F90" s="325"/>
      <c r="G90" s="325"/>
      <c r="H90" s="325"/>
      <c r="I90" s="392"/>
      <c r="J90" s="4">
        <v>231</v>
      </c>
      <c r="K90" s="58"/>
      <c r="L90" s="68"/>
    </row>
    <row r="91" spans="1:12" s="3" customFormat="1" ht="14.1" customHeight="1" x14ac:dyDescent="0.2">
      <c r="A91" s="324" t="s">
        <v>482</v>
      </c>
      <c r="B91" s="325"/>
      <c r="C91" s="325"/>
      <c r="D91" s="325"/>
      <c r="E91" s="325"/>
      <c r="F91" s="325"/>
      <c r="G91" s="325"/>
      <c r="H91" s="325"/>
      <c r="I91" s="392"/>
      <c r="J91" s="4">
        <v>232</v>
      </c>
      <c r="K91" s="58"/>
      <c r="L91" s="68"/>
    </row>
    <row r="92" spans="1:12" s="3" customFormat="1" ht="14.1" customHeight="1" x14ac:dyDescent="0.2">
      <c r="A92" s="324" t="s">
        <v>483</v>
      </c>
      <c r="B92" s="325"/>
      <c r="C92" s="325"/>
      <c r="D92" s="325"/>
      <c r="E92" s="325"/>
      <c r="F92" s="325"/>
      <c r="G92" s="325"/>
      <c r="H92" s="325"/>
      <c r="I92" s="392"/>
      <c r="J92" s="4">
        <v>233</v>
      </c>
      <c r="K92" s="58"/>
      <c r="L92" s="68"/>
    </row>
    <row r="93" spans="1:12" s="3" customFormat="1" ht="14.1" customHeight="1" x14ac:dyDescent="0.2">
      <c r="A93" s="330" t="s">
        <v>2096</v>
      </c>
      <c r="B93" s="331"/>
      <c r="C93" s="331"/>
      <c r="D93" s="331"/>
      <c r="E93" s="331"/>
      <c r="F93" s="331"/>
      <c r="G93" s="331"/>
      <c r="H93" s="331"/>
      <c r="I93" s="408"/>
      <c r="J93" s="4">
        <v>234</v>
      </c>
      <c r="K93" s="59">
        <f>SUM(K79:K92)</f>
        <v>0</v>
      </c>
      <c r="L93" s="67">
        <f>SUM(L79:L92)</f>
        <v>0</v>
      </c>
    </row>
    <row r="94" spans="1:12" s="3" customFormat="1" ht="14.1" customHeight="1" x14ac:dyDescent="0.2">
      <c r="A94" s="324" t="s">
        <v>484</v>
      </c>
      <c r="B94" s="325"/>
      <c r="C94" s="325"/>
      <c r="D94" s="325"/>
      <c r="E94" s="325"/>
      <c r="F94" s="325"/>
      <c r="G94" s="325"/>
      <c r="H94" s="325"/>
      <c r="I94" s="392"/>
      <c r="J94" s="4">
        <v>235</v>
      </c>
      <c r="K94" s="58"/>
      <c r="L94" s="68"/>
    </row>
    <row r="95" spans="1:12" s="3" customFormat="1" ht="14.1" customHeight="1" x14ac:dyDescent="0.2">
      <c r="A95" s="324" t="s">
        <v>485</v>
      </c>
      <c r="B95" s="325"/>
      <c r="C95" s="325"/>
      <c r="D95" s="325"/>
      <c r="E95" s="325"/>
      <c r="F95" s="325"/>
      <c r="G95" s="325"/>
      <c r="H95" s="325"/>
      <c r="I95" s="392"/>
      <c r="J95" s="4">
        <v>236</v>
      </c>
      <c r="K95" s="58"/>
      <c r="L95" s="68"/>
    </row>
    <row r="96" spans="1:12" s="3" customFormat="1" ht="27.95" customHeight="1" x14ac:dyDescent="0.2">
      <c r="A96" s="324" t="s">
        <v>87</v>
      </c>
      <c r="B96" s="325"/>
      <c r="C96" s="325"/>
      <c r="D96" s="325"/>
      <c r="E96" s="325"/>
      <c r="F96" s="325"/>
      <c r="G96" s="325"/>
      <c r="H96" s="325"/>
      <c r="I96" s="392"/>
      <c r="J96" s="4">
        <v>237</v>
      </c>
      <c r="K96" s="58"/>
      <c r="L96" s="68"/>
    </row>
    <row r="97" spans="1:12" s="3" customFormat="1" ht="14.1" customHeight="1" x14ac:dyDescent="0.2">
      <c r="A97" s="324" t="s">
        <v>486</v>
      </c>
      <c r="B97" s="325"/>
      <c r="C97" s="325"/>
      <c r="D97" s="325"/>
      <c r="E97" s="325"/>
      <c r="F97" s="325"/>
      <c r="G97" s="325"/>
      <c r="H97" s="325"/>
      <c r="I97" s="392"/>
      <c r="J97" s="4">
        <v>238</v>
      </c>
      <c r="K97" s="58"/>
      <c r="L97" s="68"/>
    </row>
    <row r="98" spans="1:12" s="3" customFormat="1" ht="14.1" customHeight="1" x14ac:dyDescent="0.2">
      <c r="A98" s="324" t="s">
        <v>487</v>
      </c>
      <c r="B98" s="325"/>
      <c r="C98" s="325"/>
      <c r="D98" s="325"/>
      <c r="E98" s="325"/>
      <c r="F98" s="325"/>
      <c r="G98" s="325"/>
      <c r="H98" s="325"/>
      <c r="I98" s="392"/>
      <c r="J98" s="4">
        <v>239</v>
      </c>
      <c r="K98" s="58"/>
      <c r="L98" s="68"/>
    </row>
    <row r="99" spans="1:12" s="3" customFormat="1" ht="14.1" customHeight="1" x14ac:dyDescent="0.2">
      <c r="A99" s="324" t="s">
        <v>488</v>
      </c>
      <c r="B99" s="325"/>
      <c r="C99" s="325"/>
      <c r="D99" s="325"/>
      <c r="E99" s="325"/>
      <c r="F99" s="325"/>
      <c r="G99" s="325"/>
      <c r="H99" s="325"/>
      <c r="I99" s="392"/>
      <c r="J99" s="4">
        <v>240</v>
      </c>
      <c r="K99" s="58"/>
      <c r="L99" s="68"/>
    </row>
    <row r="100" spans="1:12" s="3" customFormat="1" ht="14.1" customHeight="1" x14ac:dyDescent="0.2">
      <c r="A100" s="324" t="s">
        <v>489</v>
      </c>
      <c r="B100" s="325"/>
      <c r="C100" s="325"/>
      <c r="D100" s="325"/>
      <c r="E100" s="325"/>
      <c r="F100" s="325"/>
      <c r="G100" s="325"/>
      <c r="H100" s="325"/>
      <c r="I100" s="392"/>
      <c r="J100" s="4">
        <v>241</v>
      </c>
      <c r="K100" s="58"/>
      <c r="L100" s="68"/>
    </row>
    <row r="101" spans="1:12" s="3" customFormat="1" ht="27.95" customHeight="1" x14ac:dyDescent="0.2">
      <c r="A101" s="324" t="s">
        <v>88</v>
      </c>
      <c r="B101" s="325"/>
      <c r="C101" s="325"/>
      <c r="D101" s="325"/>
      <c r="E101" s="325"/>
      <c r="F101" s="325"/>
      <c r="G101" s="325"/>
      <c r="H101" s="325"/>
      <c r="I101" s="392"/>
      <c r="J101" s="4">
        <v>242</v>
      </c>
      <c r="K101" s="58"/>
      <c r="L101" s="68"/>
    </row>
    <row r="102" spans="1:12" s="3" customFormat="1" ht="14.1" customHeight="1" x14ac:dyDescent="0.2">
      <c r="A102" s="324" t="s">
        <v>251</v>
      </c>
      <c r="B102" s="325"/>
      <c r="C102" s="325"/>
      <c r="D102" s="325"/>
      <c r="E102" s="325"/>
      <c r="F102" s="325"/>
      <c r="G102" s="325"/>
      <c r="H102" s="325"/>
      <c r="I102" s="392"/>
      <c r="J102" s="4">
        <v>243</v>
      </c>
      <c r="K102" s="58"/>
      <c r="L102" s="68"/>
    </row>
    <row r="103" spans="1:12" s="3" customFormat="1" ht="14.1" customHeight="1" x14ac:dyDescent="0.2">
      <c r="A103" s="324" t="s">
        <v>252</v>
      </c>
      <c r="B103" s="325"/>
      <c r="C103" s="325"/>
      <c r="D103" s="325"/>
      <c r="E103" s="325"/>
      <c r="F103" s="325"/>
      <c r="G103" s="325"/>
      <c r="H103" s="325"/>
      <c r="I103" s="392"/>
      <c r="J103" s="4">
        <v>244</v>
      </c>
      <c r="K103" s="58"/>
      <c r="L103" s="68"/>
    </row>
    <row r="104" spans="1:12" s="3" customFormat="1" ht="14.1" customHeight="1" x14ac:dyDescent="0.2">
      <c r="A104" s="324" t="s">
        <v>253</v>
      </c>
      <c r="B104" s="325"/>
      <c r="C104" s="325"/>
      <c r="D104" s="325"/>
      <c r="E104" s="325"/>
      <c r="F104" s="325"/>
      <c r="G104" s="325"/>
      <c r="H104" s="325"/>
      <c r="I104" s="392"/>
      <c r="J104" s="4">
        <v>245</v>
      </c>
      <c r="K104" s="58"/>
      <c r="L104" s="68"/>
    </row>
    <row r="105" spans="1:12" s="3" customFormat="1" ht="14.1" customHeight="1" x14ac:dyDescent="0.2">
      <c r="A105" s="324" t="s">
        <v>254</v>
      </c>
      <c r="B105" s="325"/>
      <c r="C105" s="325"/>
      <c r="D105" s="325"/>
      <c r="E105" s="325"/>
      <c r="F105" s="325"/>
      <c r="G105" s="325"/>
      <c r="H105" s="325"/>
      <c r="I105" s="392"/>
      <c r="J105" s="4">
        <v>246</v>
      </c>
      <c r="K105" s="58"/>
      <c r="L105" s="68"/>
    </row>
    <row r="106" spans="1:12" s="3" customFormat="1" ht="14.1" customHeight="1" x14ac:dyDescent="0.2">
      <c r="A106" s="324" t="s">
        <v>255</v>
      </c>
      <c r="B106" s="325"/>
      <c r="C106" s="325"/>
      <c r="D106" s="325"/>
      <c r="E106" s="325"/>
      <c r="F106" s="325"/>
      <c r="G106" s="325"/>
      <c r="H106" s="325"/>
      <c r="I106" s="392"/>
      <c r="J106" s="4">
        <v>247</v>
      </c>
      <c r="K106" s="58"/>
      <c r="L106" s="68"/>
    </row>
    <row r="107" spans="1:12" s="3" customFormat="1" ht="14.1" customHeight="1" x14ac:dyDescent="0.2">
      <c r="A107" s="324" t="s">
        <v>256</v>
      </c>
      <c r="B107" s="325"/>
      <c r="C107" s="325"/>
      <c r="D107" s="325"/>
      <c r="E107" s="325"/>
      <c r="F107" s="325"/>
      <c r="G107" s="325"/>
      <c r="H107" s="325"/>
      <c r="I107" s="392"/>
      <c r="J107" s="4">
        <v>248</v>
      </c>
      <c r="K107" s="58"/>
      <c r="L107" s="68"/>
    </row>
    <row r="108" spans="1:12" s="3" customFormat="1" ht="14.1" customHeight="1" x14ac:dyDescent="0.2">
      <c r="A108" s="324" t="s">
        <v>257</v>
      </c>
      <c r="B108" s="325"/>
      <c r="C108" s="325"/>
      <c r="D108" s="325"/>
      <c r="E108" s="325"/>
      <c r="F108" s="325"/>
      <c r="G108" s="325"/>
      <c r="H108" s="325"/>
      <c r="I108" s="392"/>
      <c r="J108" s="4">
        <v>249</v>
      </c>
      <c r="K108" s="58"/>
      <c r="L108" s="68"/>
    </row>
    <row r="109" spans="1:12" s="3" customFormat="1" ht="14.1" customHeight="1" x14ac:dyDescent="0.2">
      <c r="A109" s="324" t="s">
        <v>258</v>
      </c>
      <c r="B109" s="325"/>
      <c r="C109" s="325"/>
      <c r="D109" s="325"/>
      <c r="E109" s="325"/>
      <c r="F109" s="325"/>
      <c r="G109" s="325"/>
      <c r="H109" s="325"/>
      <c r="I109" s="392"/>
      <c r="J109" s="4">
        <v>250</v>
      </c>
      <c r="K109" s="58"/>
      <c r="L109" s="68"/>
    </row>
    <row r="110" spans="1:12" s="3" customFormat="1" ht="14.1" customHeight="1" x14ac:dyDescent="0.2">
      <c r="A110" s="324" t="s">
        <v>393</v>
      </c>
      <c r="B110" s="325"/>
      <c r="C110" s="325"/>
      <c r="D110" s="325"/>
      <c r="E110" s="325"/>
      <c r="F110" s="325"/>
      <c r="G110" s="325"/>
      <c r="H110" s="325"/>
      <c r="I110" s="392"/>
      <c r="J110" s="4">
        <v>251</v>
      </c>
      <c r="K110" s="58"/>
      <c r="L110" s="68"/>
    </row>
    <row r="111" spans="1:12" s="3" customFormat="1" ht="27.95" customHeight="1" x14ac:dyDescent="0.2">
      <c r="A111" s="324" t="s">
        <v>1071</v>
      </c>
      <c r="B111" s="325"/>
      <c r="C111" s="325"/>
      <c r="D111" s="325"/>
      <c r="E111" s="325"/>
      <c r="F111" s="325"/>
      <c r="G111" s="325"/>
      <c r="H111" s="325"/>
      <c r="I111" s="392"/>
      <c r="J111" s="4">
        <v>252</v>
      </c>
      <c r="K111" s="58"/>
      <c r="L111" s="68"/>
    </row>
    <row r="112" spans="1:12" s="3" customFormat="1" ht="14.1" customHeight="1" x14ac:dyDescent="0.2">
      <c r="A112" s="330" t="s">
        <v>2097</v>
      </c>
      <c r="B112" s="331"/>
      <c r="C112" s="331"/>
      <c r="D112" s="331"/>
      <c r="E112" s="331"/>
      <c r="F112" s="331"/>
      <c r="G112" s="331"/>
      <c r="H112" s="331"/>
      <c r="I112" s="408"/>
      <c r="J112" s="4">
        <v>253</v>
      </c>
      <c r="K112" s="59">
        <f>SUM(K94:K111)</f>
        <v>0</v>
      </c>
      <c r="L112" s="67">
        <f>SUM(L94:L111)</f>
        <v>0</v>
      </c>
    </row>
    <row r="113" spans="1:12" s="3" customFormat="1" ht="14.1" customHeight="1" x14ac:dyDescent="0.2">
      <c r="A113" s="324" t="s">
        <v>394</v>
      </c>
      <c r="B113" s="325"/>
      <c r="C113" s="325"/>
      <c r="D113" s="325"/>
      <c r="E113" s="325"/>
      <c r="F113" s="325"/>
      <c r="G113" s="325"/>
      <c r="H113" s="325"/>
      <c r="I113" s="392"/>
      <c r="J113" s="4">
        <v>254</v>
      </c>
      <c r="K113" s="58"/>
      <c r="L113" s="68"/>
    </row>
    <row r="114" spans="1:12" s="3" customFormat="1" ht="27.95" customHeight="1" x14ac:dyDescent="0.2">
      <c r="A114" s="324" t="s">
        <v>1072</v>
      </c>
      <c r="B114" s="325"/>
      <c r="C114" s="325"/>
      <c r="D114" s="325"/>
      <c r="E114" s="325"/>
      <c r="F114" s="325"/>
      <c r="G114" s="325"/>
      <c r="H114" s="325"/>
      <c r="I114" s="392"/>
      <c r="J114" s="4">
        <v>255</v>
      </c>
      <c r="K114" s="58"/>
      <c r="L114" s="68"/>
    </row>
    <row r="115" spans="1:12" s="3" customFormat="1" ht="14.1" customHeight="1" x14ac:dyDescent="0.2">
      <c r="A115" s="324" t="s">
        <v>395</v>
      </c>
      <c r="B115" s="325"/>
      <c r="C115" s="325"/>
      <c r="D115" s="325"/>
      <c r="E115" s="325"/>
      <c r="F115" s="325"/>
      <c r="G115" s="325"/>
      <c r="H115" s="325"/>
      <c r="I115" s="392"/>
      <c r="J115" s="4">
        <v>256</v>
      </c>
      <c r="K115" s="58"/>
      <c r="L115" s="68"/>
    </row>
    <row r="116" spans="1:12" s="3" customFormat="1" ht="14.1" customHeight="1" x14ac:dyDescent="0.2">
      <c r="A116" s="330" t="s">
        <v>2098</v>
      </c>
      <c r="B116" s="331"/>
      <c r="C116" s="331"/>
      <c r="D116" s="331"/>
      <c r="E116" s="331"/>
      <c r="F116" s="331"/>
      <c r="G116" s="331"/>
      <c r="H116" s="331"/>
      <c r="I116" s="408"/>
      <c r="J116" s="4">
        <v>257</v>
      </c>
      <c r="K116" s="59">
        <f>SUM(K113:K115)</f>
        <v>0</v>
      </c>
      <c r="L116" s="67">
        <f>SUM(L113:L115)</f>
        <v>0</v>
      </c>
    </row>
    <row r="117" spans="1:12" s="3" customFormat="1" ht="14.1" customHeight="1" x14ac:dyDescent="0.2">
      <c r="A117" s="324" t="s">
        <v>396</v>
      </c>
      <c r="B117" s="325"/>
      <c r="C117" s="325"/>
      <c r="D117" s="325"/>
      <c r="E117" s="325"/>
      <c r="F117" s="325"/>
      <c r="G117" s="325"/>
      <c r="H117" s="325"/>
      <c r="I117" s="392"/>
      <c r="J117" s="4">
        <v>258</v>
      </c>
      <c r="K117" s="58"/>
      <c r="L117" s="68"/>
    </row>
    <row r="118" spans="1:12" s="3" customFormat="1" ht="27.95" customHeight="1" x14ac:dyDescent="0.2">
      <c r="A118" s="324" t="s">
        <v>2365</v>
      </c>
      <c r="B118" s="325"/>
      <c r="C118" s="325"/>
      <c r="D118" s="325"/>
      <c r="E118" s="325"/>
      <c r="F118" s="325"/>
      <c r="G118" s="325"/>
      <c r="H118" s="325"/>
      <c r="I118" s="392"/>
      <c r="J118" s="4">
        <v>259</v>
      </c>
      <c r="K118" s="58"/>
      <c r="L118" s="68"/>
    </row>
    <row r="119" spans="1:12" s="3" customFormat="1" ht="14.1" customHeight="1" x14ac:dyDescent="0.2">
      <c r="A119" s="324" t="s">
        <v>1715</v>
      </c>
      <c r="B119" s="325"/>
      <c r="C119" s="325"/>
      <c r="D119" s="325"/>
      <c r="E119" s="325"/>
      <c r="F119" s="325"/>
      <c r="G119" s="325"/>
      <c r="H119" s="325"/>
      <c r="I119" s="392"/>
      <c r="J119" s="4">
        <v>260</v>
      </c>
      <c r="K119" s="58"/>
      <c r="L119" s="68"/>
    </row>
    <row r="120" spans="1:12" s="3" customFormat="1" ht="27.95" customHeight="1" x14ac:dyDescent="0.2">
      <c r="A120" s="324" t="s">
        <v>2699</v>
      </c>
      <c r="B120" s="325"/>
      <c r="C120" s="325"/>
      <c r="D120" s="325"/>
      <c r="E120" s="325"/>
      <c r="F120" s="325"/>
      <c r="G120" s="325"/>
      <c r="H120" s="325"/>
      <c r="I120" s="392"/>
      <c r="J120" s="4">
        <v>261</v>
      </c>
      <c r="K120" s="58"/>
      <c r="L120" s="68"/>
    </row>
    <row r="121" spans="1:12" s="3" customFormat="1" ht="14.1" customHeight="1" x14ac:dyDescent="0.2">
      <c r="A121" s="330" t="s">
        <v>2099</v>
      </c>
      <c r="B121" s="331"/>
      <c r="C121" s="331"/>
      <c r="D121" s="331"/>
      <c r="E121" s="331"/>
      <c r="F121" s="331"/>
      <c r="G121" s="331"/>
      <c r="H121" s="331"/>
      <c r="I121" s="408"/>
      <c r="J121" s="4">
        <v>262</v>
      </c>
      <c r="K121" s="59">
        <f>SUM(K117:K120)</f>
        <v>0</v>
      </c>
      <c r="L121" s="67">
        <f>SUM(L117:L120)</f>
        <v>0</v>
      </c>
    </row>
    <row r="122" spans="1:12" s="3" customFormat="1" ht="14.1" customHeight="1" x14ac:dyDescent="0.2">
      <c r="A122" s="324" t="s">
        <v>1716</v>
      </c>
      <c r="B122" s="325"/>
      <c r="C122" s="325"/>
      <c r="D122" s="325"/>
      <c r="E122" s="325"/>
      <c r="F122" s="325"/>
      <c r="G122" s="325"/>
      <c r="H122" s="325"/>
      <c r="I122" s="392"/>
      <c r="J122" s="4">
        <v>263</v>
      </c>
      <c r="K122" s="58"/>
      <c r="L122" s="68"/>
    </row>
    <row r="123" spans="1:12" s="3" customFormat="1" ht="27.95" customHeight="1" x14ac:dyDescent="0.2">
      <c r="A123" s="324" t="s">
        <v>2700</v>
      </c>
      <c r="B123" s="325"/>
      <c r="C123" s="325"/>
      <c r="D123" s="325"/>
      <c r="E123" s="325"/>
      <c r="F123" s="325"/>
      <c r="G123" s="325"/>
      <c r="H123" s="325"/>
      <c r="I123" s="392"/>
      <c r="J123" s="4">
        <v>264</v>
      </c>
      <c r="K123" s="58"/>
      <c r="L123" s="68"/>
    </row>
    <row r="124" spans="1:12" s="3" customFormat="1" ht="27.95" customHeight="1" x14ac:dyDescent="0.2">
      <c r="A124" s="324" t="s">
        <v>2246</v>
      </c>
      <c r="B124" s="325"/>
      <c r="C124" s="325"/>
      <c r="D124" s="325"/>
      <c r="E124" s="325"/>
      <c r="F124" s="325"/>
      <c r="G124" s="325"/>
      <c r="H124" s="325"/>
      <c r="I124" s="392"/>
      <c r="J124" s="4">
        <v>265</v>
      </c>
      <c r="K124" s="58"/>
      <c r="L124" s="68"/>
    </row>
    <row r="125" spans="1:12" s="3" customFormat="1" ht="14.1" customHeight="1" x14ac:dyDescent="0.2">
      <c r="A125" s="324" t="s">
        <v>1717</v>
      </c>
      <c r="B125" s="325"/>
      <c r="C125" s="325"/>
      <c r="D125" s="325"/>
      <c r="E125" s="325"/>
      <c r="F125" s="325"/>
      <c r="G125" s="325"/>
      <c r="H125" s="325"/>
      <c r="I125" s="392"/>
      <c r="J125" s="4">
        <v>266</v>
      </c>
      <c r="K125" s="58"/>
      <c r="L125" s="68"/>
    </row>
    <row r="126" spans="1:12" s="3" customFormat="1" ht="14.1" customHeight="1" x14ac:dyDescent="0.2">
      <c r="A126" s="324" t="s">
        <v>1718</v>
      </c>
      <c r="B126" s="325"/>
      <c r="C126" s="325"/>
      <c r="D126" s="325"/>
      <c r="E126" s="325"/>
      <c r="F126" s="325"/>
      <c r="G126" s="325"/>
      <c r="H126" s="325"/>
      <c r="I126" s="392"/>
      <c r="J126" s="4">
        <v>267</v>
      </c>
      <c r="K126" s="58"/>
      <c r="L126" s="68"/>
    </row>
    <row r="127" spans="1:12" s="3" customFormat="1" ht="14.1" customHeight="1" x14ac:dyDescent="0.2">
      <c r="A127" s="370" t="s">
        <v>2100</v>
      </c>
      <c r="B127" s="371"/>
      <c r="C127" s="371"/>
      <c r="D127" s="371"/>
      <c r="E127" s="371"/>
      <c r="F127" s="371"/>
      <c r="G127" s="371"/>
      <c r="H127" s="371"/>
      <c r="I127" s="407"/>
      <c r="J127" s="5">
        <v>268</v>
      </c>
      <c r="K127" s="59">
        <f>SUM(K122:K126)</f>
        <v>0</v>
      </c>
      <c r="L127" s="67">
        <f>SUM(L122:L126)</f>
        <v>0</v>
      </c>
    </row>
    <row r="128" spans="1:12" s="3" customFormat="1" ht="15" customHeight="1" x14ac:dyDescent="0.2">
      <c r="A128" s="401" t="s">
        <v>2101</v>
      </c>
      <c r="B128" s="402"/>
      <c r="C128" s="402"/>
      <c r="D128" s="402"/>
      <c r="E128" s="402"/>
      <c r="F128" s="402"/>
      <c r="G128" s="402"/>
      <c r="H128" s="402"/>
      <c r="I128" s="403"/>
      <c r="J128" s="403"/>
      <c r="K128" s="403"/>
      <c r="L128" s="406"/>
    </row>
    <row r="129" spans="1:12" s="3" customFormat="1" ht="27.95" customHeight="1" x14ac:dyDescent="0.2">
      <c r="A129" s="410" t="s">
        <v>2247</v>
      </c>
      <c r="B129" s="411"/>
      <c r="C129" s="411"/>
      <c r="D129" s="411"/>
      <c r="E129" s="411"/>
      <c r="F129" s="411"/>
      <c r="G129" s="411"/>
      <c r="H129" s="411"/>
      <c r="I129" s="412"/>
      <c r="J129" s="6">
        <v>269</v>
      </c>
      <c r="K129" s="61"/>
      <c r="L129" s="137"/>
    </row>
    <row r="130" spans="1:12" s="3" customFormat="1" ht="14.1" customHeight="1" x14ac:dyDescent="0.2">
      <c r="A130" s="324" t="s">
        <v>1719</v>
      </c>
      <c r="B130" s="325"/>
      <c r="C130" s="325"/>
      <c r="D130" s="325"/>
      <c r="E130" s="325"/>
      <c r="F130" s="325"/>
      <c r="G130" s="325"/>
      <c r="H130" s="325"/>
      <c r="I130" s="392"/>
      <c r="J130" s="4">
        <v>270</v>
      </c>
      <c r="K130" s="58"/>
      <c r="L130" s="68"/>
    </row>
    <row r="131" spans="1:12" s="3" customFormat="1" ht="14.1" customHeight="1" x14ac:dyDescent="0.2">
      <c r="A131" s="324" t="s">
        <v>1720</v>
      </c>
      <c r="B131" s="325"/>
      <c r="C131" s="325"/>
      <c r="D131" s="325"/>
      <c r="E131" s="325"/>
      <c r="F131" s="325"/>
      <c r="G131" s="325"/>
      <c r="H131" s="325"/>
      <c r="I131" s="392"/>
      <c r="J131" s="4">
        <v>271</v>
      </c>
      <c r="K131" s="58"/>
      <c r="L131" s="68"/>
    </row>
    <row r="132" spans="1:12" s="3" customFormat="1" ht="14.1" customHeight="1" x14ac:dyDescent="0.2">
      <c r="A132" s="324" t="s">
        <v>1334</v>
      </c>
      <c r="B132" s="325"/>
      <c r="C132" s="325"/>
      <c r="D132" s="325"/>
      <c r="E132" s="325"/>
      <c r="F132" s="325"/>
      <c r="G132" s="325"/>
      <c r="H132" s="325"/>
      <c r="I132" s="392"/>
      <c r="J132" s="4">
        <v>272</v>
      </c>
      <c r="K132" s="58"/>
      <c r="L132" s="68"/>
    </row>
    <row r="133" spans="1:12" s="3" customFormat="1" ht="14.1" customHeight="1" x14ac:dyDescent="0.2">
      <c r="A133" s="324" t="s">
        <v>1335</v>
      </c>
      <c r="B133" s="325"/>
      <c r="C133" s="325"/>
      <c r="D133" s="325"/>
      <c r="E133" s="325"/>
      <c r="F133" s="325"/>
      <c r="G133" s="325"/>
      <c r="H133" s="325"/>
      <c r="I133" s="392"/>
      <c r="J133" s="4">
        <v>273</v>
      </c>
      <c r="K133" s="58"/>
      <c r="L133" s="68"/>
    </row>
    <row r="134" spans="1:12" s="3" customFormat="1" ht="14.1" customHeight="1" x14ac:dyDescent="0.2">
      <c r="A134" s="330" t="s">
        <v>2102</v>
      </c>
      <c r="B134" s="331"/>
      <c r="C134" s="331"/>
      <c r="D134" s="331"/>
      <c r="E134" s="331"/>
      <c r="F134" s="331"/>
      <c r="G134" s="331"/>
      <c r="H134" s="331"/>
      <c r="I134" s="408"/>
      <c r="J134" s="4">
        <v>274</v>
      </c>
      <c r="K134" s="59">
        <f>SUM(K129:K133)</f>
        <v>0</v>
      </c>
      <c r="L134" s="67">
        <f>SUM(L129:L133)</f>
        <v>0</v>
      </c>
    </row>
    <row r="135" spans="1:12" s="3" customFormat="1" ht="14.1" customHeight="1" x14ac:dyDescent="0.2">
      <c r="A135" s="324" t="s">
        <v>1336</v>
      </c>
      <c r="B135" s="325"/>
      <c r="C135" s="325"/>
      <c r="D135" s="325"/>
      <c r="E135" s="325"/>
      <c r="F135" s="325"/>
      <c r="G135" s="325"/>
      <c r="H135" s="325"/>
      <c r="I135" s="392"/>
      <c r="J135" s="4">
        <v>275</v>
      </c>
      <c r="K135" s="58"/>
      <c r="L135" s="68"/>
    </row>
    <row r="136" spans="1:12" s="3" customFormat="1" ht="14.1" customHeight="1" x14ac:dyDescent="0.2">
      <c r="A136" s="324" t="s">
        <v>364</v>
      </c>
      <c r="B136" s="325"/>
      <c r="C136" s="325"/>
      <c r="D136" s="325"/>
      <c r="E136" s="325"/>
      <c r="F136" s="325"/>
      <c r="G136" s="325"/>
      <c r="H136" s="325"/>
      <c r="I136" s="392"/>
      <c r="J136" s="4">
        <v>276</v>
      </c>
      <c r="K136" s="58"/>
      <c r="L136" s="68"/>
    </row>
    <row r="137" spans="1:12" s="3" customFormat="1" ht="14.1" customHeight="1" x14ac:dyDescent="0.2">
      <c r="A137" s="363" t="s">
        <v>2103</v>
      </c>
      <c r="B137" s="364"/>
      <c r="C137" s="364"/>
      <c r="D137" s="364"/>
      <c r="E137" s="364"/>
      <c r="F137" s="364"/>
      <c r="G137" s="364"/>
      <c r="H137" s="364"/>
      <c r="I137" s="409"/>
      <c r="J137" s="18">
        <v>277</v>
      </c>
      <c r="K137" s="60">
        <f>SUM(K135:K136)</f>
        <v>0</v>
      </c>
      <c r="L137" s="85">
        <f>SUM(L135:L136)</f>
        <v>0</v>
      </c>
    </row>
    <row r="138" spans="1:12" ht="5.0999999999999996" customHeight="1" x14ac:dyDescent="0.2"/>
  </sheetData>
  <sheetProtection password="C79A" sheet="1" objects="1"/>
  <mergeCells count="136">
    <mergeCell ref="A19:I19"/>
    <mergeCell ref="A17:I17"/>
    <mergeCell ref="A9:L9"/>
    <mergeCell ref="L3:L4"/>
    <mergeCell ref="A8:I8"/>
    <mergeCell ref="A6:L6"/>
    <mergeCell ref="A7:I7"/>
    <mergeCell ref="A16:I16"/>
    <mergeCell ref="A18:I18"/>
    <mergeCell ref="A22:I22"/>
    <mergeCell ref="A23:I23"/>
    <mergeCell ref="A20:I20"/>
    <mergeCell ref="A21:I21"/>
    <mergeCell ref="A26:I26"/>
    <mergeCell ref="A27:I27"/>
    <mergeCell ref="A24:I24"/>
    <mergeCell ref="A25:I25"/>
    <mergeCell ref="A32:I32"/>
    <mergeCell ref="A33:I33"/>
    <mergeCell ref="A30:I30"/>
    <mergeCell ref="A31:I31"/>
    <mergeCell ref="A28:I28"/>
    <mergeCell ref="A29:I29"/>
    <mergeCell ref="A38:I38"/>
    <mergeCell ref="A39:I39"/>
    <mergeCell ref="A36:I36"/>
    <mergeCell ref="A37:I37"/>
    <mergeCell ref="A34:I34"/>
    <mergeCell ref="A35:I35"/>
    <mergeCell ref="A44:I44"/>
    <mergeCell ref="A45:I45"/>
    <mergeCell ref="A42:I42"/>
    <mergeCell ref="A43:I43"/>
    <mergeCell ref="A40:I40"/>
    <mergeCell ref="A41:I41"/>
    <mergeCell ref="A51:I51"/>
    <mergeCell ref="A52:I52"/>
    <mergeCell ref="A49:I49"/>
    <mergeCell ref="A50:I50"/>
    <mergeCell ref="A48:I48"/>
    <mergeCell ref="A46:I46"/>
    <mergeCell ref="A47:I47"/>
    <mergeCell ref="A57:I57"/>
    <mergeCell ref="A58:I58"/>
    <mergeCell ref="A55:I55"/>
    <mergeCell ref="A56:I56"/>
    <mergeCell ref="A53:I53"/>
    <mergeCell ref="A54:I54"/>
    <mergeCell ref="A65:I65"/>
    <mergeCell ref="A64:I64"/>
    <mergeCell ref="A62:I62"/>
    <mergeCell ref="A63:I63"/>
    <mergeCell ref="A61:I61"/>
    <mergeCell ref="A59:I59"/>
    <mergeCell ref="A60:I60"/>
    <mergeCell ref="A71:I71"/>
    <mergeCell ref="A72:I72"/>
    <mergeCell ref="A69:I69"/>
    <mergeCell ref="A70:I70"/>
    <mergeCell ref="A67:I67"/>
    <mergeCell ref="A68:I68"/>
    <mergeCell ref="A79:I79"/>
    <mergeCell ref="A80:I80"/>
    <mergeCell ref="A77:I77"/>
    <mergeCell ref="A75:I75"/>
    <mergeCell ref="A76:I76"/>
    <mergeCell ref="A73:I73"/>
    <mergeCell ref="A74:I74"/>
    <mergeCell ref="A85:I85"/>
    <mergeCell ref="A86:I86"/>
    <mergeCell ref="A83:I83"/>
    <mergeCell ref="A84:I84"/>
    <mergeCell ref="A81:I81"/>
    <mergeCell ref="A82:I82"/>
    <mergeCell ref="A91:I91"/>
    <mergeCell ref="A92:I92"/>
    <mergeCell ref="A89:I89"/>
    <mergeCell ref="A90:I90"/>
    <mergeCell ref="A87:I87"/>
    <mergeCell ref="A88:I88"/>
    <mergeCell ref="A97:I97"/>
    <mergeCell ref="A98:I98"/>
    <mergeCell ref="A95:I95"/>
    <mergeCell ref="A96:I96"/>
    <mergeCell ref="A93:I93"/>
    <mergeCell ref="A94:I94"/>
    <mergeCell ref="A103:I103"/>
    <mergeCell ref="A104:I104"/>
    <mergeCell ref="A101:I101"/>
    <mergeCell ref="A102:I102"/>
    <mergeCell ref="A99:I99"/>
    <mergeCell ref="A100:I100"/>
    <mergeCell ref="A109:I109"/>
    <mergeCell ref="A110:I110"/>
    <mergeCell ref="A107:I107"/>
    <mergeCell ref="A108:I108"/>
    <mergeCell ref="A105:I105"/>
    <mergeCell ref="A106:I106"/>
    <mergeCell ref="A115:I115"/>
    <mergeCell ref="A116:I116"/>
    <mergeCell ref="A113:I113"/>
    <mergeCell ref="A114:I114"/>
    <mergeCell ref="A111:I111"/>
    <mergeCell ref="A112:I112"/>
    <mergeCell ref="A129:I129"/>
    <mergeCell ref="A130:I130"/>
    <mergeCell ref="A119:I119"/>
    <mergeCell ref="A120:I120"/>
    <mergeCell ref="A117:I117"/>
    <mergeCell ref="A118:I118"/>
    <mergeCell ref="A137:I137"/>
    <mergeCell ref="A135:I135"/>
    <mergeCell ref="A136:I136"/>
    <mergeCell ref="A133:I133"/>
    <mergeCell ref="A134:I134"/>
    <mergeCell ref="A131:I131"/>
    <mergeCell ref="A132:I132"/>
    <mergeCell ref="A66:L66"/>
    <mergeCell ref="A78:L78"/>
    <mergeCell ref="A128:L128"/>
    <mergeCell ref="A125:I125"/>
    <mergeCell ref="A127:I127"/>
    <mergeCell ref="A126:I126"/>
    <mergeCell ref="A123:I123"/>
    <mergeCell ref="A124:I124"/>
    <mergeCell ref="A121:I121"/>
    <mergeCell ref="A122:I122"/>
    <mergeCell ref="A1:B2"/>
    <mergeCell ref="A13:I13"/>
    <mergeCell ref="A14:I14"/>
    <mergeCell ref="A15:I15"/>
    <mergeCell ref="A3:K3"/>
    <mergeCell ref="A4:K4"/>
    <mergeCell ref="A10:I10"/>
    <mergeCell ref="A11:I11"/>
    <mergeCell ref="A12:I12"/>
  </mergeCells>
  <phoneticPr fontId="2" type="noConversion"/>
  <dataValidations count="1">
    <dataValidation type="whole" operator="greaterThanOrEqual" allowBlank="1" showInputMessage="1" showErrorMessage="1" errorTitle="Pogrešan unos" error="Mogu se unijeti samo cjelobrojne pozitivne vrijednosti." sqref="K67:L77 K79:L127 K129:L137 K10:L65">
      <formula1>0</formula1>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ageMargins left="0.55118110236220474" right="0.55118110236220474" top="0.78740157480314965" bottom="0.78740157480314965" header="0.59055118110236227" footer="0.59055118110236227"/>
  <pageSetup paperSize="9" scale="86" fitToHeight="0"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P56"/>
  <sheetViews>
    <sheetView showGridLines="0" showRowColHeaders="0" workbookViewId="0">
      <pane ySplit="8" topLeftCell="A9" activePane="bottomLeft" state="frozen"/>
      <selection pane="bottomLeft" activeCell="A9" sqref="A9:L9"/>
    </sheetView>
  </sheetViews>
  <sheetFormatPr defaultColWidth="0" defaultRowHeight="12.75" zeroHeight="1" x14ac:dyDescent="0.2"/>
  <cols>
    <col min="1" max="7" width="7.7109375" customWidth="1"/>
    <col min="8" max="8" width="9.28515625" customWidth="1"/>
    <col min="9" max="9" width="7.28515625" customWidth="1"/>
    <col min="10" max="10" width="7.7109375" customWidth="1"/>
    <col min="11" max="12" width="14.28515625" customWidth="1"/>
    <col min="13" max="13" width="0.85546875" customWidth="1"/>
    <col min="14" max="14" width="3.42578125" hidden="1" customWidth="1"/>
  </cols>
  <sheetData>
    <row r="1" spans="1:16" ht="20.100000000000001" customHeight="1" x14ac:dyDescent="0.2">
      <c r="A1" s="312" t="s">
        <v>559</v>
      </c>
      <c r="B1" s="313"/>
      <c r="C1" s="126" t="s">
        <v>95</v>
      </c>
      <c r="D1" s="123" t="s">
        <v>560</v>
      </c>
      <c r="E1" s="123" t="s">
        <v>1410</v>
      </c>
      <c r="F1" s="144" t="s">
        <v>2177</v>
      </c>
      <c r="G1" s="123" t="s">
        <v>96</v>
      </c>
      <c r="H1" s="144" t="s">
        <v>97</v>
      </c>
      <c r="I1" s="123" t="s">
        <v>1411</v>
      </c>
      <c r="J1" s="124" t="s">
        <v>98</v>
      </c>
      <c r="K1" s="3"/>
      <c r="L1" s="3"/>
      <c r="O1" s="28">
        <f>K16+L16+K21+L21+K30+L30+K34+L34+K41+L41+K47+L47+K52+L52+K55+L55</f>
        <v>2756418000</v>
      </c>
      <c r="P1" s="28">
        <f>K16+K21+K30+K34+K41+K47+K52+K55</f>
        <v>972348000</v>
      </c>
    </row>
    <row r="2" spans="1:16" s="3" customFormat="1" ht="20.100000000000001" customHeight="1" thickBot="1" x14ac:dyDescent="0.25">
      <c r="A2" s="314"/>
      <c r="B2" s="315"/>
      <c r="C2" s="127" t="s">
        <v>1114</v>
      </c>
      <c r="D2" s="128" t="s">
        <v>1413</v>
      </c>
      <c r="E2" s="128" t="s">
        <v>1115</v>
      </c>
      <c r="F2" s="128" t="s">
        <v>1412</v>
      </c>
      <c r="G2" s="128" t="s">
        <v>99</v>
      </c>
      <c r="H2" s="128" t="s">
        <v>1116</v>
      </c>
      <c r="I2" s="129" t="s">
        <v>100</v>
      </c>
      <c r="J2" s="125"/>
      <c r="P2" s="36">
        <f>L16+L21+L30+L34+L41+L47+L52+L55</f>
        <v>1784070000</v>
      </c>
    </row>
    <row r="3" spans="1:16" s="3" customFormat="1" ht="20.100000000000001" customHeight="1" x14ac:dyDescent="0.2">
      <c r="A3" s="393" t="s">
        <v>1374</v>
      </c>
      <c r="B3" s="394"/>
      <c r="C3" s="394"/>
      <c r="D3" s="394"/>
      <c r="E3" s="394"/>
      <c r="F3" s="394"/>
      <c r="G3" s="394"/>
      <c r="H3" s="394"/>
      <c r="I3" s="394"/>
      <c r="J3" s="394"/>
      <c r="K3" s="423"/>
      <c r="L3" s="350" t="s">
        <v>2536</v>
      </c>
    </row>
    <row r="4" spans="1:16" s="3" customFormat="1" ht="20.100000000000001" customHeight="1" thickBot="1" x14ac:dyDescent="0.25">
      <c r="A4" s="396" t="str">
        <f xml:space="preserve"> "u razdoblju " &amp; IF(Opci!E5&lt;&gt;"", TEXT(Opci!E5, "DD.MM.YYYY."), "__.__.____.") &amp; " do " &amp; IF(Opci!H5&lt;&gt;"", TEXT(Opci!H5, "DD.MM.YYYY."),"__.__.____.")</f>
        <v>u razdoblju 01.01.2009. do 31.03.2009.</v>
      </c>
      <c r="B4" s="397"/>
      <c r="C4" s="397"/>
      <c r="D4" s="397"/>
      <c r="E4" s="397"/>
      <c r="F4" s="397"/>
      <c r="G4" s="397"/>
      <c r="H4" s="397"/>
      <c r="I4" s="397"/>
      <c r="J4" s="397"/>
      <c r="K4" s="423"/>
      <c r="L4" s="415"/>
    </row>
    <row r="5" spans="1:16" s="3" customFormat="1" ht="5.0999999999999996" customHeight="1" x14ac:dyDescent="0.2">
      <c r="A5" s="88"/>
      <c r="B5" s="63"/>
      <c r="C5" s="63"/>
      <c r="D5" s="63"/>
      <c r="E5" s="63"/>
      <c r="F5" s="63"/>
      <c r="G5" s="63"/>
      <c r="H5" s="63"/>
      <c r="I5" s="63"/>
      <c r="J5" s="63"/>
      <c r="K5" s="57"/>
    </row>
    <row r="6" spans="1:16" s="3" customFormat="1" ht="20.100000000000001" customHeight="1" x14ac:dyDescent="0.2">
      <c r="A6" s="420" t="str">
        <f>"Obveznik: "&amp;IF(Opci!C19&lt;&gt;"",Opci!C19,"________") &amp; "; " &amp; IF(Opci!C25&lt;&gt;"",Opci!C25,"_____________________________________________________________"&amp;"; "&amp;IF(Opci!F27&lt;&gt;"",Opci!F27,"_______________"))</f>
        <v>Obveznik: 03454088; PODRAVKA GRUPA</v>
      </c>
      <c r="B6" s="421"/>
      <c r="C6" s="421"/>
      <c r="D6" s="421"/>
      <c r="E6" s="421"/>
      <c r="F6" s="421"/>
      <c r="G6" s="421"/>
      <c r="H6" s="421"/>
      <c r="I6" s="421"/>
      <c r="J6" s="421"/>
      <c r="K6" s="421"/>
      <c r="L6" s="422"/>
    </row>
    <row r="7" spans="1:16" s="3" customFormat="1" ht="24.75" customHeight="1" thickBot="1" x14ac:dyDescent="0.25">
      <c r="A7" s="418" t="s">
        <v>2618</v>
      </c>
      <c r="B7" s="418"/>
      <c r="C7" s="418"/>
      <c r="D7" s="418"/>
      <c r="E7" s="418"/>
      <c r="F7" s="418"/>
      <c r="G7" s="418"/>
      <c r="H7" s="418"/>
      <c r="I7" s="132" t="s">
        <v>101</v>
      </c>
      <c r="J7" s="138" t="s">
        <v>102</v>
      </c>
      <c r="K7" s="133" t="s">
        <v>898</v>
      </c>
      <c r="L7" s="133" t="s">
        <v>899</v>
      </c>
    </row>
    <row r="8" spans="1:16" s="3" customFormat="1" ht="14.1" customHeight="1" x14ac:dyDescent="0.2">
      <c r="A8" s="416">
        <v>1</v>
      </c>
      <c r="B8" s="416"/>
      <c r="C8" s="416"/>
      <c r="D8" s="416"/>
      <c r="E8" s="416"/>
      <c r="F8" s="416"/>
      <c r="G8" s="416"/>
      <c r="H8" s="416"/>
      <c r="I8" s="135">
        <v>2</v>
      </c>
      <c r="J8" s="160">
        <v>3</v>
      </c>
      <c r="K8" s="158">
        <v>4</v>
      </c>
      <c r="L8" s="158">
        <v>5</v>
      </c>
    </row>
    <row r="9" spans="1:16" s="3" customFormat="1" ht="15" customHeight="1" x14ac:dyDescent="0.2">
      <c r="A9" s="401" t="s">
        <v>2255</v>
      </c>
      <c r="B9" s="402"/>
      <c r="C9" s="402"/>
      <c r="D9" s="402"/>
      <c r="E9" s="402"/>
      <c r="F9" s="402"/>
      <c r="G9" s="402"/>
      <c r="H9" s="402"/>
      <c r="I9" s="404"/>
      <c r="J9" s="404"/>
      <c r="K9" s="404"/>
      <c r="L9" s="405"/>
    </row>
    <row r="10" spans="1:16" s="3" customFormat="1" ht="14.1" customHeight="1" x14ac:dyDescent="0.2">
      <c r="A10" s="324" t="s">
        <v>753</v>
      </c>
      <c r="B10" s="325"/>
      <c r="C10" s="325"/>
      <c r="D10" s="325"/>
      <c r="E10" s="325"/>
      <c r="F10" s="325"/>
      <c r="G10" s="325"/>
      <c r="H10" s="325"/>
      <c r="I10" s="4">
        <v>1</v>
      </c>
      <c r="J10" s="162"/>
      <c r="K10" s="58">
        <v>15831000</v>
      </c>
      <c r="L10" s="68">
        <v>6201000</v>
      </c>
      <c r="O10" s="3">
        <f>ABS(K10-RDG!K46)</f>
        <v>4512000</v>
      </c>
      <c r="P10" s="3">
        <f>ABS(L10-RDG!L46)</f>
        <v>2504000</v>
      </c>
    </row>
    <row r="11" spans="1:16" s="3" customFormat="1" ht="14.1" customHeight="1" x14ac:dyDescent="0.2">
      <c r="A11" s="324" t="s">
        <v>754</v>
      </c>
      <c r="B11" s="325"/>
      <c r="C11" s="325"/>
      <c r="D11" s="325"/>
      <c r="E11" s="325"/>
      <c r="F11" s="325"/>
      <c r="G11" s="325"/>
      <c r="H11" s="325"/>
      <c r="I11" s="4">
        <v>2</v>
      </c>
      <c r="J11" s="162"/>
      <c r="K11" s="58">
        <v>37091000</v>
      </c>
      <c r="L11" s="68">
        <v>40329000</v>
      </c>
      <c r="O11" s="3">
        <f>ABS(K11-RDG!K24)</f>
        <v>1000</v>
      </c>
      <c r="P11" s="3">
        <f>ABS(L11-RDG!L24)</f>
        <v>1000</v>
      </c>
    </row>
    <row r="12" spans="1:16" s="3" customFormat="1" ht="14.1" customHeight="1" x14ac:dyDescent="0.2">
      <c r="A12" s="324" t="s">
        <v>755</v>
      </c>
      <c r="B12" s="325"/>
      <c r="C12" s="325"/>
      <c r="D12" s="325"/>
      <c r="E12" s="325"/>
      <c r="F12" s="325"/>
      <c r="G12" s="325"/>
      <c r="H12" s="325"/>
      <c r="I12" s="4">
        <v>3</v>
      </c>
      <c r="J12" s="162"/>
      <c r="K12" s="58"/>
      <c r="L12" s="68"/>
    </row>
    <row r="13" spans="1:16" s="3" customFormat="1" ht="14.1" customHeight="1" x14ac:dyDescent="0.2">
      <c r="A13" s="324" t="s">
        <v>756</v>
      </c>
      <c r="B13" s="325"/>
      <c r="C13" s="325"/>
      <c r="D13" s="325"/>
      <c r="E13" s="325"/>
      <c r="F13" s="325"/>
      <c r="G13" s="325"/>
      <c r="H13" s="325"/>
      <c r="I13" s="4">
        <v>4</v>
      </c>
      <c r="J13" s="162"/>
      <c r="K13" s="58">
        <v>98699000</v>
      </c>
      <c r="L13" s="68">
        <v>145607000</v>
      </c>
    </row>
    <row r="14" spans="1:16" s="3" customFormat="1" ht="14.1" customHeight="1" x14ac:dyDescent="0.2">
      <c r="A14" s="324" t="s">
        <v>757</v>
      </c>
      <c r="B14" s="325"/>
      <c r="C14" s="325"/>
      <c r="D14" s="325"/>
      <c r="E14" s="325"/>
      <c r="F14" s="325"/>
      <c r="G14" s="325"/>
      <c r="H14" s="325"/>
      <c r="I14" s="4">
        <v>5</v>
      </c>
      <c r="J14" s="162"/>
      <c r="K14" s="58"/>
      <c r="L14" s="68"/>
    </row>
    <row r="15" spans="1:16" s="3" customFormat="1" ht="14.1" customHeight="1" x14ac:dyDescent="0.2">
      <c r="A15" s="324" t="s">
        <v>758</v>
      </c>
      <c r="B15" s="325"/>
      <c r="C15" s="325"/>
      <c r="D15" s="325"/>
      <c r="E15" s="325"/>
      <c r="F15" s="325"/>
      <c r="G15" s="325"/>
      <c r="H15" s="325"/>
      <c r="I15" s="4">
        <v>6</v>
      </c>
      <c r="J15" s="162"/>
      <c r="K15" s="58"/>
      <c r="L15" s="68">
        <v>50576000</v>
      </c>
    </row>
    <row r="16" spans="1:16" s="3" customFormat="1" ht="14.1" customHeight="1" x14ac:dyDescent="0.2">
      <c r="A16" s="330" t="s">
        <v>2256</v>
      </c>
      <c r="B16" s="331"/>
      <c r="C16" s="331"/>
      <c r="D16" s="331"/>
      <c r="E16" s="331"/>
      <c r="F16" s="331"/>
      <c r="G16" s="331"/>
      <c r="H16" s="331"/>
      <c r="I16" s="4">
        <v>7</v>
      </c>
      <c r="J16" s="162"/>
      <c r="K16" s="59">
        <f>SUM(K10:K15)</f>
        <v>151621000</v>
      </c>
      <c r="L16" s="67">
        <f>SUM(L10:L15)</f>
        <v>242713000</v>
      </c>
    </row>
    <row r="17" spans="1:12" s="3" customFormat="1" ht="14.1" customHeight="1" x14ac:dyDescent="0.2">
      <c r="A17" s="324" t="s">
        <v>759</v>
      </c>
      <c r="B17" s="325"/>
      <c r="C17" s="325"/>
      <c r="D17" s="325"/>
      <c r="E17" s="325"/>
      <c r="F17" s="325"/>
      <c r="G17" s="325"/>
      <c r="H17" s="325"/>
      <c r="I17" s="4">
        <v>8</v>
      </c>
      <c r="J17" s="162"/>
      <c r="K17" s="58">
        <v>33450000</v>
      </c>
      <c r="L17" s="68">
        <v>112520000</v>
      </c>
    </row>
    <row r="18" spans="1:12" s="3" customFormat="1" ht="14.1" customHeight="1" x14ac:dyDescent="0.2">
      <c r="A18" s="324" t="s">
        <v>760</v>
      </c>
      <c r="B18" s="325"/>
      <c r="C18" s="325"/>
      <c r="D18" s="325"/>
      <c r="E18" s="325"/>
      <c r="F18" s="325"/>
      <c r="G18" s="325"/>
      <c r="H18" s="325"/>
      <c r="I18" s="4">
        <v>9</v>
      </c>
      <c r="J18" s="162"/>
      <c r="K18" s="58"/>
      <c r="L18" s="68">
        <v>0</v>
      </c>
    </row>
    <row r="19" spans="1:12" s="3" customFormat="1" ht="14.1" customHeight="1" x14ac:dyDescent="0.2">
      <c r="A19" s="324" t="s">
        <v>761</v>
      </c>
      <c r="B19" s="325"/>
      <c r="C19" s="325"/>
      <c r="D19" s="325"/>
      <c r="E19" s="325"/>
      <c r="F19" s="325"/>
      <c r="G19" s="325"/>
      <c r="H19" s="325"/>
      <c r="I19" s="4">
        <v>10</v>
      </c>
      <c r="J19" s="162"/>
      <c r="K19" s="58">
        <v>31294000</v>
      </c>
      <c r="L19" s="68">
        <v>56562000</v>
      </c>
    </row>
    <row r="20" spans="1:12" s="3" customFormat="1" ht="14.1" customHeight="1" x14ac:dyDescent="0.2">
      <c r="A20" s="324" t="s">
        <v>762</v>
      </c>
      <c r="B20" s="325"/>
      <c r="C20" s="325"/>
      <c r="D20" s="325"/>
      <c r="E20" s="325"/>
      <c r="F20" s="325"/>
      <c r="G20" s="325"/>
      <c r="H20" s="325"/>
      <c r="I20" s="4">
        <v>11</v>
      </c>
      <c r="J20" s="162"/>
      <c r="K20" s="58">
        <v>121147000</v>
      </c>
      <c r="L20" s="68">
        <v>0</v>
      </c>
    </row>
    <row r="21" spans="1:12" s="3" customFormat="1" ht="14.1" customHeight="1" x14ac:dyDescent="0.2">
      <c r="A21" s="330" t="s">
        <v>908</v>
      </c>
      <c r="B21" s="331"/>
      <c r="C21" s="331"/>
      <c r="D21" s="331"/>
      <c r="E21" s="331"/>
      <c r="F21" s="331"/>
      <c r="G21" s="331"/>
      <c r="H21" s="331"/>
      <c r="I21" s="4">
        <v>12</v>
      </c>
      <c r="J21" s="162"/>
      <c r="K21" s="59">
        <f>SUM(K17:K20)</f>
        <v>185891000</v>
      </c>
      <c r="L21" s="67">
        <f>SUM(L17:L20)</f>
        <v>169082000</v>
      </c>
    </row>
    <row r="22" spans="1:12" s="3" customFormat="1" ht="24.95" customHeight="1" x14ac:dyDescent="0.2">
      <c r="A22" s="330" t="s">
        <v>749</v>
      </c>
      <c r="B22" s="331"/>
      <c r="C22" s="331"/>
      <c r="D22" s="331"/>
      <c r="E22" s="331"/>
      <c r="F22" s="331"/>
      <c r="G22" s="331"/>
      <c r="H22" s="331"/>
      <c r="I22" s="4">
        <v>13</v>
      </c>
      <c r="J22" s="162"/>
      <c r="K22" s="59">
        <f>IF(K16&gt;K21,K16-K21,0)</f>
        <v>0</v>
      </c>
      <c r="L22" s="67">
        <f>IF(L16&gt;L21,L16-L21,0)</f>
        <v>73631000</v>
      </c>
    </row>
    <row r="23" spans="1:12" s="3" customFormat="1" ht="24.95" customHeight="1" x14ac:dyDescent="0.2">
      <c r="A23" s="330" t="s">
        <v>750</v>
      </c>
      <c r="B23" s="331"/>
      <c r="C23" s="331"/>
      <c r="D23" s="331"/>
      <c r="E23" s="331"/>
      <c r="F23" s="331"/>
      <c r="G23" s="331"/>
      <c r="H23" s="331"/>
      <c r="I23" s="4">
        <v>14</v>
      </c>
      <c r="J23" s="162"/>
      <c r="K23" s="59">
        <f>IF(K21&gt;K16,K21-K16,0)</f>
        <v>34270000</v>
      </c>
      <c r="L23" s="67">
        <f>IF(L21&gt;L16,L21-L16,0)</f>
        <v>0</v>
      </c>
    </row>
    <row r="24" spans="1:12" s="3" customFormat="1" ht="15" customHeight="1" x14ac:dyDescent="0.2">
      <c r="A24" s="401" t="s">
        <v>909</v>
      </c>
      <c r="B24" s="402"/>
      <c r="C24" s="402"/>
      <c r="D24" s="402"/>
      <c r="E24" s="402"/>
      <c r="F24" s="402"/>
      <c r="G24" s="402"/>
      <c r="H24" s="402"/>
      <c r="I24" s="404"/>
      <c r="J24" s="404"/>
      <c r="K24" s="404"/>
      <c r="L24" s="405"/>
    </row>
    <row r="25" spans="1:12" s="3" customFormat="1" ht="14.1" customHeight="1" x14ac:dyDescent="0.2">
      <c r="A25" s="324" t="s">
        <v>763</v>
      </c>
      <c r="B25" s="325"/>
      <c r="C25" s="325"/>
      <c r="D25" s="325"/>
      <c r="E25" s="325"/>
      <c r="F25" s="325"/>
      <c r="G25" s="325"/>
      <c r="H25" s="325"/>
      <c r="I25" s="4">
        <v>15</v>
      </c>
      <c r="J25" s="162"/>
      <c r="K25" s="58">
        <v>102000</v>
      </c>
      <c r="L25" s="68">
        <v>204000</v>
      </c>
    </row>
    <row r="26" spans="1:12" s="3" customFormat="1" ht="14.1" customHeight="1" x14ac:dyDescent="0.2">
      <c r="A26" s="324" t="s">
        <v>764</v>
      </c>
      <c r="B26" s="325"/>
      <c r="C26" s="325"/>
      <c r="D26" s="325"/>
      <c r="E26" s="325"/>
      <c r="F26" s="325"/>
      <c r="G26" s="325"/>
      <c r="H26" s="325"/>
      <c r="I26" s="4">
        <v>16</v>
      </c>
      <c r="J26" s="162"/>
      <c r="K26" s="58"/>
      <c r="L26" s="68"/>
    </row>
    <row r="27" spans="1:12" s="3" customFormat="1" ht="14.1" customHeight="1" x14ac:dyDescent="0.2">
      <c r="A27" s="324" t="s">
        <v>765</v>
      </c>
      <c r="B27" s="325"/>
      <c r="C27" s="325"/>
      <c r="D27" s="325"/>
      <c r="E27" s="325"/>
      <c r="F27" s="325"/>
      <c r="G27" s="325"/>
      <c r="H27" s="325"/>
      <c r="I27" s="4">
        <v>17</v>
      </c>
      <c r="J27" s="162"/>
      <c r="K27" s="58"/>
      <c r="L27" s="68">
        <v>0</v>
      </c>
    </row>
    <row r="28" spans="1:12" s="3" customFormat="1" ht="14.1" customHeight="1" x14ac:dyDescent="0.2">
      <c r="A28" s="324" t="s">
        <v>766</v>
      </c>
      <c r="B28" s="325"/>
      <c r="C28" s="325"/>
      <c r="D28" s="325"/>
      <c r="E28" s="325"/>
      <c r="F28" s="325"/>
      <c r="G28" s="325"/>
      <c r="H28" s="325"/>
      <c r="I28" s="4">
        <v>18</v>
      </c>
      <c r="J28" s="162"/>
      <c r="K28" s="58"/>
      <c r="L28" s="68"/>
    </row>
    <row r="29" spans="1:12" s="3" customFormat="1" ht="14.1" customHeight="1" x14ac:dyDescent="0.2">
      <c r="A29" s="324" t="s">
        <v>767</v>
      </c>
      <c r="B29" s="325"/>
      <c r="C29" s="325"/>
      <c r="D29" s="325"/>
      <c r="E29" s="325"/>
      <c r="F29" s="325"/>
      <c r="G29" s="325"/>
      <c r="H29" s="325"/>
      <c r="I29" s="4">
        <v>19</v>
      </c>
      <c r="J29" s="162"/>
      <c r="K29" s="58"/>
      <c r="L29" s="68">
        <v>6522000</v>
      </c>
    </row>
    <row r="30" spans="1:12" s="3" customFormat="1" ht="14.1" customHeight="1" x14ac:dyDescent="0.2">
      <c r="A30" s="330" t="s">
        <v>1378</v>
      </c>
      <c r="B30" s="331"/>
      <c r="C30" s="331"/>
      <c r="D30" s="331"/>
      <c r="E30" s="331"/>
      <c r="F30" s="331"/>
      <c r="G30" s="331"/>
      <c r="H30" s="331"/>
      <c r="I30" s="4">
        <v>20</v>
      </c>
      <c r="J30" s="162"/>
      <c r="K30" s="59">
        <f>SUM(K25:K29)</f>
        <v>102000</v>
      </c>
      <c r="L30" s="67">
        <f>SUM(L25:L29)</f>
        <v>6726000</v>
      </c>
    </row>
    <row r="31" spans="1:12" s="3" customFormat="1" ht="14.1" customHeight="1" x14ac:dyDescent="0.2">
      <c r="A31" s="324" t="s">
        <v>768</v>
      </c>
      <c r="B31" s="325"/>
      <c r="C31" s="325"/>
      <c r="D31" s="325"/>
      <c r="E31" s="325"/>
      <c r="F31" s="325"/>
      <c r="G31" s="325"/>
      <c r="H31" s="325"/>
      <c r="I31" s="4">
        <v>21</v>
      </c>
      <c r="J31" s="162"/>
      <c r="K31" s="58">
        <v>31480000</v>
      </c>
      <c r="L31" s="68">
        <v>15754000</v>
      </c>
    </row>
    <row r="32" spans="1:12" s="3" customFormat="1" ht="14.1" customHeight="1" x14ac:dyDescent="0.2">
      <c r="A32" s="324" t="s">
        <v>769</v>
      </c>
      <c r="B32" s="325"/>
      <c r="C32" s="325"/>
      <c r="D32" s="325"/>
      <c r="E32" s="325"/>
      <c r="F32" s="325"/>
      <c r="G32" s="325"/>
      <c r="H32" s="325"/>
      <c r="I32" s="4">
        <v>22</v>
      </c>
      <c r="J32" s="162"/>
      <c r="K32" s="58"/>
      <c r="L32" s="68"/>
    </row>
    <row r="33" spans="1:12" s="3" customFormat="1" ht="14.1" customHeight="1" x14ac:dyDescent="0.2">
      <c r="A33" s="324" t="s">
        <v>770</v>
      </c>
      <c r="B33" s="325"/>
      <c r="C33" s="325"/>
      <c r="D33" s="325"/>
      <c r="E33" s="325"/>
      <c r="F33" s="325"/>
      <c r="G33" s="325"/>
      <c r="H33" s="325"/>
      <c r="I33" s="4">
        <v>23</v>
      </c>
      <c r="J33" s="162"/>
      <c r="K33" s="58">
        <v>2081000</v>
      </c>
      <c r="L33" s="68"/>
    </row>
    <row r="34" spans="1:12" s="3" customFormat="1" ht="14.1" customHeight="1" x14ac:dyDescent="0.2">
      <c r="A34" s="330" t="s">
        <v>1120</v>
      </c>
      <c r="B34" s="331"/>
      <c r="C34" s="331"/>
      <c r="D34" s="331"/>
      <c r="E34" s="331"/>
      <c r="F34" s="331"/>
      <c r="G34" s="331"/>
      <c r="H34" s="331"/>
      <c r="I34" s="4">
        <v>24</v>
      </c>
      <c r="J34" s="162"/>
      <c r="K34" s="59">
        <f>SUM(K31:K33)</f>
        <v>33561000</v>
      </c>
      <c r="L34" s="67">
        <f>SUM(L31:L33)</f>
        <v>15754000</v>
      </c>
    </row>
    <row r="35" spans="1:12" s="3" customFormat="1" ht="24.95" customHeight="1" x14ac:dyDescent="0.2">
      <c r="A35" s="330" t="s">
        <v>751</v>
      </c>
      <c r="B35" s="331"/>
      <c r="C35" s="331"/>
      <c r="D35" s="331"/>
      <c r="E35" s="331"/>
      <c r="F35" s="331"/>
      <c r="G35" s="331"/>
      <c r="H35" s="331"/>
      <c r="I35" s="4">
        <v>25</v>
      </c>
      <c r="J35" s="162"/>
      <c r="K35" s="59">
        <f>IF(K30&gt;K34,K30-K34,0)</f>
        <v>0</v>
      </c>
      <c r="L35" s="67">
        <f>IF(L30&gt;L34,L30-L34,0)</f>
        <v>0</v>
      </c>
    </row>
    <row r="36" spans="1:12" s="3" customFormat="1" ht="24.95" customHeight="1" x14ac:dyDescent="0.2">
      <c r="A36" s="330" t="s">
        <v>752</v>
      </c>
      <c r="B36" s="331"/>
      <c r="C36" s="331"/>
      <c r="D36" s="331"/>
      <c r="E36" s="331"/>
      <c r="F36" s="331"/>
      <c r="G36" s="331"/>
      <c r="H36" s="331"/>
      <c r="I36" s="4">
        <v>26</v>
      </c>
      <c r="J36" s="162"/>
      <c r="K36" s="59">
        <f>IF(K34&gt;K30,K34-K30,0)</f>
        <v>33459000</v>
      </c>
      <c r="L36" s="67">
        <f>IF(L34&gt;L30,L34-L30,0)</f>
        <v>9028000</v>
      </c>
    </row>
    <row r="37" spans="1:12" s="3" customFormat="1" ht="15" customHeight="1" x14ac:dyDescent="0.2">
      <c r="A37" s="401" t="s">
        <v>910</v>
      </c>
      <c r="B37" s="402"/>
      <c r="C37" s="402"/>
      <c r="D37" s="402"/>
      <c r="E37" s="402"/>
      <c r="F37" s="402"/>
      <c r="G37" s="402"/>
      <c r="H37" s="402"/>
      <c r="I37" s="404"/>
      <c r="J37" s="404"/>
      <c r="K37" s="404"/>
      <c r="L37" s="405"/>
    </row>
    <row r="38" spans="1:12" s="3" customFormat="1" ht="14.1" customHeight="1" x14ac:dyDescent="0.2">
      <c r="A38" s="324" t="s">
        <v>942</v>
      </c>
      <c r="B38" s="325"/>
      <c r="C38" s="325"/>
      <c r="D38" s="325"/>
      <c r="E38" s="325"/>
      <c r="F38" s="325"/>
      <c r="G38" s="325"/>
      <c r="H38" s="325"/>
      <c r="I38" s="4">
        <v>27</v>
      </c>
      <c r="J38" s="162"/>
      <c r="K38" s="58"/>
      <c r="L38" s="68"/>
    </row>
    <row r="39" spans="1:12" s="3" customFormat="1" ht="14.1" customHeight="1" x14ac:dyDescent="0.2">
      <c r="A39" s="324" t="s">
        <v>943</v>
      </c>
      <c r="B39" s="325"/>
      <c r="C39" s="325"/>
      <c r="D39" s="325"/>
      <c r="E39" s="325"/>
      <c r="F39" s="325"/>
      <c r="G39" s="325"/>
      <c r="H39" s="325"/>
      <c r="I39" s="4">
        <v>28</v>
      </c>
      <c r="J39" s="162"/>
      <c r="K39" s="58">
        <v>221902000</v>
      </c>
      <c r="L39" s="68">
        <f>371987000</f>
        <v>371987000</v>
      </c>
    </row>
    <row r="40" spans="1:12" s="3" customFormat="1" ht="14.1" customHeight="1" x14ac:dyDescent="0.2">
      <c r="A40" s="324" t="s">
        <v>944</v>
      </c>
      <c r="B40" s="325"/>
      <c r="C40" s="325"/>
      <c r="D40" s="325"/>
      <c r="E40" s="325"/>
      <c r="F40" s="325"/>
      <c r="G40" s="325"/>
      <c r="H40" s="325"/>
      <c r="I40" s="4">
        <v>29</v>
      </c>
      <c r="J40" s="162"/>
      <c r="K40" s="58"/>
      <c r="L40" s="68"/>
    </row>
    <row r="41" spans="1:12" s="3" customFormat="1" ht="14.1" customHeight="1" x14ac:dyDescent="0.2">
      <c r="A41" s="330" t="s">
        <v>1121</v>
      </c>
      <c r="B41" s="331"/>
      <c r="C41" s="331"/>
      <c r="D41" s="331"/>
      <c r="E41" s="331"/>
      <c r="F41" s="331"/>
      <c r="G41" s="331"/>
      <c r="H41" s="331"/>
      <c r="I41" s="4">
        <v>30</v>
      </c>
      <c r="J41" s="162"/>
      <c r="K41" s="59">
        <f>SUM(K38:K40)</f>
        <v>221902000</v>
      </c>
      <c r="L41" s="67">
        <f>SUM(L38:L40)</f>
        <v>371987000</v>
      </c>
    </row>
    <row r="42" spans="1:12" s="3" customFormat="1" ht="14.1" customHeight="1" x14ac:dyDescent="0.2">
      <c r="A42" s="324" t="s">
        <v>945</v>
      </c>
      <c r="B42" s="325"/>
      <c r="C42" s="325"/>
      <c r="D42" s="325"/>
      <c r="E42" s="325"/>
      <c r="F42" s="325"/>
      <c r="G42" s="325"/>
      <c r="H42" s="325"/>
      <c r="I42" s="4">
        <v>31</v>
      </c>
      <c r="J42" s="162"/>
      <c r="K42" s="58">
        <v>180228000</v>
      </c>
      <c r="L42" s="68">
        <v>397705000</v>
      </c>
    </row>
    <row r="43" spans="1:12" s="3" customFormat="1" ht="14.1" customHeight="1" x14ac:dyDescent="0.2">
      <c r="A43" s="324" t="s">
        <v>946</v>
      </c>
      <c r="B43" s="325"/>
      <c r="C43" s="325"/>
      <c r="D43" s="325"/>
      <c r="E43" s="325"/>
      <c r="F43" s="325"/>
      <c r="G43" s="325"/>
      <c r="H43" s="325"/>
      <c r="I43" s="4">
        <v>32</v>
      </c>
      <c r="J43" s="162"/>
      <c r="K43" s="58">
        <v>286000</v>
      </c>
      <c r="L43" s="68">
        <v>5000</v>
      </c>
    </row>
    <row r="44" spans="1:12" s="3" customFormat="1" ht="14.1" customHeight="1" x14ac:dyDescent="0.2">
      <c r="A44" s="324" t="s">
        <v>947</v>
      </c>
      <c r="B44" s="325"/>
      <c r="C44" s="325"/>
      <c r="D44" s="325"/>
      <c r="E44" s="325"/>
      <c r="F44" s="325"/>
      <c r="G44" s="325"/>
      <c r="H44" s="325"/>
      <c r="I44" s="4">
        <v>33</v>
      </c>
      <c r="J44" s="162"/>
      <c r="K44" s="58">
        <v>752000</v>
      </c>
      <c r="L44" s="68">
        <v>1034000</v>
      </c>
    </row>
    <row r="45" spans="1:12" s="3" customFormat="1" ht="14.1" customHeight="1" x14ac:dyDescent="0.2">
      <c r="A45" s="324" t="s">
        <v>948</v>
      </c>
      <c r="B45" s="325"/>
      <c r="C45" s="325"/>
      <c r="D45" s="325"/>
      <c r="E45" s="325"/>
      <c r="F45" s="325"/>
      <c r="G45" s="325"/>
      <c r="H45" s="325"/>
      <c r="I45" s="4">
        <v>34</v>
      </c>
      <c r="J45" s="162"/>
      <c r="K45" s="58">
        <v>9576000</v>
      </c>
      <c r="L45" s="68">
        <v>6390000</v>
      </c>
    </row>
    <row r="46" spans="1:12" s="3" customFormat="1" ht="14.1" customHeight="1" x14ac:dyDescent="0.2">
      <c r="A46" s="324" t="s">
        <v>949</v>
      </c>
      <c r="B46" s="325"/>
      <c r="C46" s="325"/>
      <c r="D46" s="325"/>
      <c r="E46" s="325"/>
      <c r="F46" s="325"/>
      <c r="G46" s="325"/>
      <c r="H46" s="325"/>
      <c r="I46" s="4">
        <v>35</v>
      </c>
      <c r="J46" s="162"/>
      <c r="K46" s="58">
        <v>8911000</v>
      </c>
      <c r="L46" s="68">
        <v>8895000</v>
      </c>
    </row>
    <row r="47" spans="1:12" s="3" customFormat="1" ht="14.1" customHeight="1" x14ac:dyDescent="0.2">
      <c r="A47" s="330" t="s">
        <v>1122</v>
      </c>
      <c r="B47" s="331"/>
      <c r="C47" s="331"/>
      <c r="D47" s="331"/>
      <c r="E47" s="331"/>
      <c r="F47" s="331"/>
      <c r="G47" s="331"/>
      <c r="H47" s="331"/>
      <c r="I47" s="4">
        <v>36</v>
      </c>
      <c r="J47" s="162"/>
      <c r="K47" s="59">
        <f>SUM(K42:K46)</f>
        <v>199753000</v>
      </c>
      <c r="L47" s="67">
        <f>SUM(L42:L46)</f>
        <v>414029000</v>
      </c>
    </row>
    <row r="48" spans="1:12" s="3" customFormat="1" ht="24.95" customHeight="1" x14ac:dyDescent="0.2">
      <c r="A48" s="330" t="s">
        <v>771</v>
      </c>
      <c r="B48" s="331"/>
      <c r="C48" s="331"/>
      <c r="D48" s="331"/>
      <c r="E48" s="331"/>
      <c r="F48" s="331"/>
      <c r="G48" s="331"/>
      <c r="H48" s="331"/>
      <c r="I48" s="4">
        <v>37</v>
      </c>
      <c r="J48" s="162"/>
      <c r="K48" s="59">
        <f>IF(K41&gt;K47,K41-K47,0)</f>
        <v>22149000</v>
      </c>
      <c r="L48" s="67">
        <f>IF(L41&gt;L47,L41-L47,0)</f>
        <v>0</v>
      </c>
    </row>
    <row r="49" spans="1:12" s="3" customFormat="1" ht="24.95" customHeight="1" x14ac:dyDescent="0.2">
      <c r="A49" s="330" t="s">
        <v>772</v>
      </c>
      <c r="B49" s="331"/>
      <c r="C49" s="331"/>
      <c r="D49" s="331"/>
      <c r="E49" s="331"/>
      <c r="F49" s="331"/>
      <c r="G49" s="331"/>
      <c r="H49" s="331"/>
      <c r="I49" s="4">
        <v>38</v>
      </c>
      <c r="J49" s="162"/>
      <c r="K49" s="59">
        <f>IF(K47&gt;K41,K47-K41,0)</f>
        <v>0</v>
      </c>
      <c r="L49" s="67">
        <f>IF(L47&gt;L41,L47-L41,0)</f>
        <v>42042000</v>
      </c>
    </row>
    <row r="50" spans="1:12" s="3" customFormat="1" ht="14.1" customHeight="1" x14ac:dyDescent="0.2">
      <c r="A50" s="324" t="s">
        <v>2534</v>
      </c>
      <c r="B50" s="325"/>
      <c r="C50" s="325"/>
      <c r="D50" s="325"/>
      <c r="E50" s="325"/>
      <c r="F50" s="325"/>
      <c r="G50" s="325"/>
      <c r="H50" s="325"/>
      <c r="I50" s="4">
        <v>39</v>
      </c>
      <c r="J50" s="162"/>
      <c r="K50" s="59">
        <f>IF(K22-K23+K35-K36+K48-K49&gt;0,K22-K23+K35-K36+K48-K49,0)</f>
        <v>0</v>
      </c>
      <c r="L50" s="67">
        <f>IF(L22-L23+L35-L36+L48-L49&gt;0,L22-L23+L35-L36+L48-L49,0)</f>
        <v>22561000</v>
      </c>
    </row>
    <row r="51" spans="1:12" s="3" customFormat="1" ht="14.1" customHeight="1" x14ac:dyDescent="0.2">
      <c r="A51" s="324" t="s">
        <v>2535</v>
      </c>
      <c r="B51" s="325"/>
      <c r="C51" s="325"/>
      <c r="D51" s="325"/>
      <c r="E51" s="325"/>
      <c r="F51" s="325"/>
      <c r="G51" s="325"/>
      <c r="H51" s="325"/>
      <c r="I51" s="4">
        <v>40</v>
      </c>
      <c r="J51" s="162"/>
      <c r="K51" s="59">
        <f>IF(K23-K22+K36-K35+K49-K48&gt;0,K23-K22+K36-K35+K49-K48,0)</f>
        <v>45580000</v>
      </c>
      <c r="L51" s="67">
        <f>IF(L23-L22+L36-L35+L49-L48&gt;0,L23-L22+L36-L35+L49-L48,0)</f>
        <v>0</v>
      </c>
    </row>
    <row r="52" spans="1:12" s="3" customFormat="1" ht="14.1" customHeight="1" x14ac:dyDescent="0.2">
      <c r="A52" s="324" t="s">
        <v>911</v>
      </c>
      <c r="B52" s="325"/>
      <c r="C52" s="325"/>
      <c r="D52" s="325"/>
      <c r="E52" s="325"/>
      <c r="F52" s="325"/>
      <c r="G52" s="325"/>
      <c r="H52" s="325"/>
      <c r="I52" s="4">
        <v>41</v>
      </c>
      <c r="J52" s="162"/>
      <c r="K52" s="58">
        <v>112549000</v>
      </c>
      <c r="L52" s="68">
        <v>270609000</v>
      </c>
    </row>
    <row r="53" spans="1:12" s="3" customFormat="1" ht="14.1" customHeight="1" x14ac:dyDescent="0.2">
      <c r="A53" s="324" t="s">
        <v>912</v>
      </c>
      <c r="B53" s="325"/>
      <c r="C53" s="325"/>
      <c r="D53" s="325"/>
      <c r="E53" s="325"/>
      <c r="F53" s="325"/>
      <c r="G53" s="325"/>
      <c r="H53" s="325"/>
      <c r="I53" s="4">
        <v>42</v>
      </c>
      <c r="J53" s="162"/>
      <c r="K53" s="58"/>
      <c r="L53" s="68">
        <f>L50</f>
        <v>22561000</v>
      </c>
    </row>
    <row r="54" spans="1:12" s="3" customFormat="1" ht="14.1" customHeight="1" x14ac:dyDescent="0.2">
      <c r="A54" s="324" t="s">
        <v>913</v>
      </c>
      <c r="B54" s="325"/>
      <c r="C54" s="325"/>
      <c r="D54" s="325"/>
      <c r="E54" s="325"/>
      <c r="F54" s="325"/>
      <c r="G54" s="325"/>
      <c r="H54" s="325"/>
      <c r="I54" s="4">
        <v>43</v>
      </c>
      <c r="J54" s="162"/>
      <c r="K54" s="58">
        <f>K51</f>
        <v>45580000</v>
      </c>
      <c r="L54" s="68"/>
    </row>
    <row r="55" spans="1:12" s="3" customFormat="1" ht="14.1" customHeight="1" x14ac:dyDescent="0.2">
      <c r="A55" s="424" t="s">
        <v>1373</v>
      </c>
      <c r="B55" s="425"/>
      <c r="C55" s="425"/>
      <c r="D55" s="425"/>
      <c r="E55" s="425"/>
      <c r="F55" s="425"/>
      <c r="G55" s="425"/>
      <c r="H55" s="425"/>
      <c r="I55" s="18">
        <v>44</v>
      </c>
      <c r="J55" s="163"/>
      <c r="K55" s="60">
        <f>K52+K53-K54</f>
        <v>66969000</v>
      </c>
      <c r="L55" s="85">
        <f>L52+L53-L54</f>
        <v>293170000</v>
      </c>
    </row>
    <row r="56" spans="1:12" ht="5.0999999999999996" customHeight="1" x14ac:dyDescent="0.2"/>
  </sheetData>
  <sheetProtection password="C79A" sheet="1" objects="1"/>
  <mergeCells count="54">
    <mergeCell ref="A53:H53"/>
    <mergeCell ref="A54:H54"/>
    <mergeCell ref="A55:H55"/>
    <mergeCell ref="A50:H50"/>
    <mergeCell ref="A48:H48"/>
    <mergeCell ref="A49:H49"/>
    <mergeCell ref="A51:H51"/>
    <mergeCell ref="A52:H52"/>
    <mergeCell ref="A43:H43"/>
    <mergeCell ref="A44:H44"/>
    <mergeCell ref="A47:H47"/>
    <mergeCell ref="A45:H45"/>
    <mergeCell ref="A46:H46"/>
    <mergeCell ref="A39:H39"/>
    <mergeCell ref="A42:H42"/>
    <mergeCell ref="A40:H40"/>
    <mergeCell ref="A41:H41"/>
    <mergeCell ref="A34:H34"/>
    <mergeCell ref="A38:H38"/>
    <mergeCell ref="A37:L37"/>
    <mergeCell ref="A36:H36"/>
    <mergeCell ref="A35:H35"/>
    <mergeCell ref="A32:H32"/>
    <mergeCell ref="A27:H27"/>
    <mergeCell ref="A30:H30"/>
    <mergeCell ref="A28:H28"/>
    <mergeCell ref="A29:H29"/>
    <mergeCell ref="A31:H31"/>
    <mergeCell ref="A33:H33"/>
    <mergeCell ref="A21:H21"/>
    <mergeCell ref="A25:H25"/>
    <mergeCell ref="A22:H22"/>
    <mergeCell ref="A23:H23"/>
    <mergeCell ref="A26:H26"/>
    <mergeCell ref="A24:L24"/>
    <mergeCell ref="A15:H15"/>
    <mergeCell ref="A16:H16"/>
    <mergeCell ref="A17:H17"/>
    <mergeCell ref="A18:H18"/>
    <mergeCell ref="A19:H19"/>
    <mergeCell ref="A20:H20"/>
    <mergeCell ref="A10:H10"/>
    <mergeCell ref="A9:L9"/>
    <mergeCell ref="A11:H11"/>
    <mergeCell ref="A12:H12"/>
    <mergeCell ref="A13:H13"/>
    <mergeCell ref="A14:H14"/>
    <mergeCell ref="A1:B2"/>
    <mergeCell ref="A6:L6"/>
    <mergeCell ref="A7:H7"/>
    <mergeCell ref="A8:H8"/>
    <mergeCell ref="L3:L4"/>
    <mergeCell ref="A3:K3"/>
    <mergeCell ref="A4:K4"/>
  </mergeCells>
  <phoneticPr fontId="2" type="noConversion"/>
  <dataValidations count="2">
    <dataValidation type="whole" operator="greaterThanOrEqual" allowBlank="1" showInputMessage="1" showErrorMessage="1" errorTitle="Pogrešan unos" error="Mogu se unijeti samo cjelobrojne pozitivne vrijednosti." sqref="K34:L36 K21:L23 K16:L16 K30:L30 K41:L41 K47:L51 K55:L55">
      <formula1>0</formula1>
    </dataValidation>
    <dataValidation type="whole" operator="notEqual" allowBlank="1" showInputMessage="1" showErrorMessage="1" errorTitle="Pogrešan unos" error="Mogu se unijeti samo cjelobrojne vrijednosti." sqref="K52:L54 K10:L15 K17:L20 K25:L29 K31:L33 K38:L40 K42:L46">
      <formula1>9999999998</formula1>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5118110236220474" right="0.55118110236220474" top="0.78740157480314965" bottom="0.78740157480314965" header="0.59055118110236227" footer="0.59055118110236227"/>
  <pageSetup paperSize="9" scale="86"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Y58"/>
  <sheetViews>
    <sheetView showGridLines="0" showRowColHeaders="0" workbookViewId="0">
      <pane ySplit="8" topLeftCell="A9" activePane="bottomLeft" state="frozen"/>
      <selection pane="bottomLeft" activeCell="A9" sqref="A9:L9"/>
    </sheetView>
  </sheetViews>
  <sheetFormatPr defaultColWidth="0" defaultRowHeight="12.75" zeroHeight="1" x14ac:dyDescent="0.2"/>
  <cols>
    <col min="1" max="7" width="7.7109375" customWidth="1"/>
    <col min="8" max="8" width="9.28515625" customWidth="1"/>
    <col min="9" max="9" width="7.28515625" customWidth="1"/>
    <col min="10" max="10" width="7.7109375" customWidth="1"/>
    <col min="11" max="12" width="14.28515625" customWidth="1"/>
    <col min="13" max="13" width="0.85546875" customWidth="1"/>
    <col min="14" max="14" width="0" hidden="1" customWidth="1"/>
    <col min="15" max="15" width="11.140625" hidden="1" customWidth="1"/>
    <col min="16" max="17" width="9.5703125" hidden="1" customWidth="1"/>
    <col min="18" max="22" width="0" hidden="1" customWidth="1"/>
    <col min="23" max="23" width="11.140625" hidden="1" customWidth="1"/>
    <col min="24" max="25" width="9.5703125" hidden="1" customWidth="1"/>
  </cols>
  <sheetData>
    <row r="1" spans="1:16" ht="20.100000000000001" customHeight="1" x14ac:dyDescent="0.2">
      <c r="A1" s="312" t="s">
        <v>559</v>
      </c>
      <c r="B1" s="313"/>
      <c r="C1" s="126" t="s">
        <v>95</v>
      </c>
      <c r="D1" s="123" t="s">
        <v>560</v>
      </c>
      <c r="E1" s="123" t="s">
        <v>1410</v>
      </c>
      <c r="F1" s="144" t="s">
        <v>2177</v>
      </c>
      <c r="G1" s="123" t="s">
        <v>96</v>
      </c>
      <c r="H1" s="144" t="s">
        <v>97</v>
      </c>
      <c r="I1" s="123" t="s">
        <v>1411</v>
      </c>
      <c r="J1" s="124" t="s">
        <v>98</v>
      </c>
      <c r="K1" s="3"/>
      <c r="L1" s="3"/>
      <c r="O1" s="3">
        <f>K15+L15+K22+L22+K31+L31+K35+L35+K42+L42+K48+L48+K53+L53+K54+L54+K55+L55+K56+L56</f>
        <v>0</v>
      </c>
      <c r="P1" s="36">
        <f>K15+K22+K31+K35+K42+K48+K53+K54+K55+K56</f>
        <v>0</v>
      </c>
    </row>
    <row r="2" spans="1:16" s="3" customFormat="1" ht="20.100000000000001" customHeight="1" thickBot="1" x14ac:dyDescent="0.25">
      <c r="A2" s="314"/>
      <c r="B2" s="315"/>
      <c r="C2" s="127" t="s">
        <v>1114</v>
      </c>
      <c r="D2" s="128" t="s">
        <v>1413</v>
      </c>
      <c r="E2" s="128" t="s">
        <v>1115</v>
      </c>
      <c r="F2" s="128" t="s">
        <v>1412</v>
      </c>
      <c r="G2" s="128" t="s">
        <v>99</v>
      </c>
      <c r="H2" s="128" t="s">
        <v>1116</v>
      </c>
      <c r="I2" s="129" t="s">
        <v>100</v>
      </c>
      <c r="J2" s="125"/>
      <c r="P2" s="36">
        <f>L15+L22+L31+L35+L42+L48+L53+L54+L55+L56</f>
        <v>0</v>
      </c>
    </row>
    <row r="3" spans="1:16" s="3" customFormat="1" ht="20.100000000000001" customHeight="1" x14ac:dyDescent="0.2">
      <c r="A3" s="393" t="s">
        <v>182</v>
      </c>
      <c r="B3" s="394"/>
      <c r="C3" s="394"/>
      <c r="D3" s="394"/>
      <c r="E3" s="394"/>
      <c r="F3" s="394"/>
      <c r="G3" s="394"/>
      <c r="H3" s="394"/>
      <c r="I3" s="394"/>
      <c r="J3" s="394"/>
      <c r="K3" s="395"/>
      <c r="L3" s="350" t="s">
        <v>181</v>
      </c>
    </row>
    <row r="4" spans="1:16" s="3" customFormat="1" ht="20.100000000000001" customHeight="1" thickBot="1" x14ac:dyDescent="0.25">
      <c r="A4" s="396" t="str">
        <f xml:space="preserve"> "u razdoblju " &amp; IF(Opci!E5&lt;&gt;"", TEXT(Opci!E5, "DD.MM.YYYY."), "__.__.____.") &amp; " do " &amp; IF(Opci!H5&lt;&gt;"", TEXT(Opci!H5, "DD.MM.YYYY."),"__.__.____.")</f>
        <v>u razdoblju 01.01.2009. do 31.03.2009.</v>
      </c>
      <c r="B4" s="397"/>
      <c r="C4" s="397"/>
      <c r="D4" s="397"/>
      <c r="E4" s="397"/>
      <c r="F4" s="397"/>
      <c r="G4" s="397"/>
      <c r="H4" s="397"/>
      <c r="I4" s="397"/>
      <c r="J4" s="397"/>
      <c r="K4" s="395"/>
      <c r="L4" s="415"/>
    </row>
    <row r="5" spans="1:16" s="3" customFormat="1" ht="5.0999999999999996" customHeight="1" x14ac:dyDescent="0.2">
      <c r="A5" s="83"/>
      <c r="B5" s="84"/>
      <c r="C5" s="84"/>
      <c r="D5" s="84"/>
      <c r="E5" s="84"/>
      <c r="F5" s="84"/>
      <c r="G5" s="84"/>
      <c r="H5" s="84"/>
      <c r="I5" s="84"/>
      <c r="J5" s="84"/>
      <c r="K5" s="87"/>
    </row>
    <row r="6" spans="1:16" s="3" customFormat="1" ht="20.100000000000001" customHeight="1" x14ac:dyDescent="0.2">
      <c r="A6" s="420" t="str">
        <f>"Obveznik: "&amp;IF(Opci!C19&lt;&gt;"",Opci!C19,"________") &amp; "; " &amp; IF(Opci!C25&lt;&gt;"",Opci!C25,"_____________________________________________________________"&amp;"; "&amp;IF(Opci!F27&lt;&gt;"",Opci!F27,"_______________"))</f>
        <v>Obveznik: 03454088; PODRAVKA GRUPA</v>
      </c>
      <c r="B6" s="421"/>
      <c r="C6" s="421"/>
      <c r="D6" s="421"/>
      <c r="E6" s="421"/>
      <c r="F6" s="421"/>
      <c r="G6" s="421"/>
      <c r="H6" s="421"/>
      <c r="I6" s="421"/>
      <c r="J6" s="421"/>
      <c r="K6" s="421"/>
      <c r="L6" s="422"/>
    </row>
    <row r="7" spans="1:16" s="3" customFormat="1" ht="24.75" customHeight="1" thickBot="1" x14ac:dyDescent="0.25">
      <c r="A7" s="418" t="s">
        <v>2618</v>
      </c>
      <c r="B7" s="418"/>
      <c r="C7" s="418"/>
      <c r="D7" s="418"/>
      <c r="E7" s="418"/>
      <c r="F7" s="418"/>
      <c r="G7" s="418"/>
      <c r="H7" s="418"/>
      <c r="I7" s="132" t="s">
        <v>101</v>
      </c>
      <c r="J7" s="138" t="s">
        <v>102</v>
      </c>
      <c r="K7" s="133" t="s">
        <v>898</v>
      </c>
      <c r="L7" s="133" t="s">
        <v>899</v>
      </c>
    </row>
    <row r="8" spans="1:16" s="3" customFormat="1" ht="14.1" customHeight="1" x14ac:dyDescent="0.2">
      <c r="A8" s="416">
        <v>1</v>
      </c>
      <c r="B8" s="416"/>
      <c r="C8" s="416"/>
      <c r="D8" s="416"/>
      <c r="E8" s="416"/>
      <c r="F8" s="416"/>
      <c r="G8" s="416"/>
      <c r="H8" s="416"/>
      <c r="I8" s="135">
        <v>2</v>
      </c>
      <c r="J8" s="160">
        <v>3</v>
      </c>
      <c r="K8" s="158">
        <v>4</v>
      </c>
      <c r="L8" s="158">
        <v>5</v>
      </c>
    </row>
    <row r="9" spans="1:16" s="3" customFormat="1" ht="15" customHeight="1" x14ac:dyDescent="0.2">
      <c r="A9" s="401" t="s">
        <v>2255</v>
      </c>
      <c r="B9" s="402"/>
      <c r="C9" s="402"/>
      <c r="D9" s="402"/>
      <c r="E9" s="402"/>
      <c r="F9" s="402"/>
      <c r="G9" s="402"/>
      <c r="H9" s="402"/>
      <c r="I9" s="404"/>
      <c r="J9" s="404"/>
      <c r="K9" s="404"/>
      <c r="L9" s="405"/>
    </row>
    <row r="10" spans="1:16" s="3" customFormat="1" ht="14.1" customHeight="1" x14ac:dyDescent="0.2">
      <c r="A10" s="324" t="s">
        <v>184</v>
      </c>
      <c r="B10" s="325"/>
      <c r="C10" s="325"/>
      <c r="D10" s="325"/>
      <c r="E10" s="325"/>
      <c r="F10" s="325"/>
      <c r="G10" s="325"/>
      <c r="H10" s="325"/>
      <c r="I10" s="4">
        <v>1</v>
      </c>
      <c r="J10" s="162"/>
      <c r="K10" s="58"/>
      <c r="L10" s="68"/>
    </row>
    <row r="11" spans="1:16" s="3" customFormat="1" ht="14.1" customHeight="1" x14ac:dyDescent="0.2">
      <c r="A11" s="324" t="s">
        <v>1040</v>
      </c>
      <c r="B11" s="325"/>
      <c r="C11" s="325"/>
      <c r="D11" s="325"/>
      <c r="E11" s="325"/>
      <c r="F11" s="325"/>
      <c r="G11" s="325"/>
      <c r="H11" s="325"/>
      <c r="I11" s="4">
        <v>2</v>
      </c>
      <c r="J11" s="162"/>
      <c r="K11" s="58"/>
      <c r="L11" s="68"/>
    </row>
    <row r="12" spans="1:16" s="3" customFormat="1" ht="14.1" customHeight="1" x14ac:dyDescent="0.2">
      <c r="A12" s="324" t="s">
        <v>1041</v>
      </c>
      <c r="B12" s="325"/>
      <c r="C12" s="325"/>
      <c r="D12" s="325"/>
      <c r="E12" s="325"/>
      <c r="F12" s="325"/>
      <c r="G12" s="325"/>
      <c r="H12" s="325"/>
      <c r="I12" s="4">
        <v>3</v>
      </c>
      <c r="J12" s="162"/>
      <c r="K12" s="58"/>
      <c r="L12" s="68"/>
    </row>
    <row r="13" spans="1:16" s="3" customFormat="1" ht="14.1" customHeight="1" x14ac:dyDescent="0.2">
      <c r="A13" s="324" t="s">
        <v>1042</v>
      </c>
      <c r="B13" s="325"/>
      <c r="C13" s="325"/>
      <c r="D13" s="325"/>
      <c r="E13" s="325"/>
      <c r="F13" s="325"/>
      <c r="G13" s="325"/>
      <c r="H13" s="325"/>
      <c r="I13" s="4">
        <v>4</v>
      </c>
      <c r="J13" s="162"/>
      <c r="K13" s="58"/>
      <c r="L13" s="68"/>
    </row>
    <row r="14" spans="1:16" s="3" customFormat="1" ht="14.1" customHeight="1" x14ac:dyDescent="0.2">
      <c r="A14" s="324" t="s">
        <v>1043</v>
      </c>
      <c r="B14" s="325"/>
      <c r="C14" s="325"/>
      <c r="D14" s="325"/>
      <c r="E14" s="325"/>
      <c r="F14" s="325"/>
      <c r="G14" s="325"/>
      <c r="H14" s="325"/>
      <c r="I14" s="4">
        <v>5</v>
      </c>
      <c r="J14" s="162"/>
      <c r="K14" s="58"/>
      <c r="L14" s="68"/>
    </row>
    <row r="15" spans="1:16" s="3" customFormat="1" ht="14.1" customHeight="1" x14ac:dyDescent="0.2">
      <c r="A15" s="330" t="s">
        <v>183</v>
      </c>
      <c r="B15" s="331"/>
      <c r="C15" s="331"/>
      <c r="D15" s="331"/>
      <c r="E15" s="331"/>
      <c r="F15" s="331"/>
      <c r="G15" s="331"/>
      <c r="H15" s="331"/>
      <c r="I15" s="4">
        <v>6</v>
      </c>
      <c r="J15" s="162"/>
      <c r="K15" s="59">
        <f>SUM(K10:K14)</f>
        <v>0</v>
      </c>
      <c r="L15" s="67">
        <f>SUM(L10:L14)</f>
        <v>0</v>
      </c>
    </row>
    <row r="16" spans="1:16" s="3" customFormat="1" ht="14.1" customHeight="1" x14ac:dyDescent="0.2">
      <c r="A16" s="324" t="s">
        <v>1044</v>
      </c>
      <c r="B16" s="325"/>
      <c r="C16" s="325"/>
      <c r="D16" s="325"/>
      <c r="E16" s="325"/>
      <c r="F16" s="325"/>
      <c r="G16" s="325"/>
      <c r="H16" s="325"/>
      <c r="I16" s="4">
        <v>7</v>
      </c>
      <c r="J16" s="162"/>
      <c r="K16" s="58"/>
      <c r="L16" s="68"/>
    </row>
    <row r="17" spans="1:12" s="3" customFormat="1" ht="14.1" customHeight="1" x14ac:dyDescent="0.2">
      <c r="A17" s="324" t="s">
        <v>1045</v>
      </c>
      <c r="B17" s="325"/>
      <c r="C17" s="325"/>
      <c r="D17" s="325"/>
      <c r="E17" s="325"/>
      <c r="F17" s="325"/>
      <c r="G17" s="325"/>
      <c r="H17" s="325"/>
      <c r="I17" s="4">
        <v>8</v>
      </c>
      <c r="J17" s="162"/>
      <c r="K17" s="58"/>
      <c r="L17" s="68"/>
    </row>
    <row r="18" spans="1:12" s="3" customFormat="1" ht="14.1" customHeight="1" x14ac:dyDescent="0.2">
      <c r="A18" s="324" t="s">
        <v>1046</v>
      </c>
      <c r="B18" s="325"/>
      <c r="C18" s="325"/>
      <c r="D18" s="325"/>
      <c r="E18" s="325"/>
      <c r="F18" s="325"/>
      <c r="G18" s="325"/>
      <c r="H18" s="325"/>
      <c r="I18" s="4">
        <v>9</v>
      </c>
      <c r="J18" s="162"/>
      <c r="K18" s="58"/>
      <c r="L18" s="68"/>
    </row>
    <row r="19" spans="1:12" s="3" customFormat="1" ht="14.1" customHeight="1" x14ac:dyDescent="0.2">
      <c r="A19" s="324" t="s">
        <v>1047</v>
      </c>
      <c r="B19" s="325"/>
      <c r="C19" s="325"/>
      <c r="D19" s="325"/>
      <c r="E19" s="325"/>
      <c r="F19" s="325"/>
      <c r="G19" s="325"/>
      <c r="H19" s="325"/>
      <c r="I19" s="4">
        <v>10</v>
      </c>
      <c r="J19" s="162"/>
      <c r="K19" s="58"/>
      <c r="L19" s="68"/>
    </row>
    <row r="20" spans="1:12" s="3" customFormat="1" ht="14.1" customHeight="1" x14ac:dyDescent="0.2">
      <c r="A20" s="324" t="s">
        <v>1048</v>
      </c>
      <c r="B20" s="325"/>
      <c r="C20" s="325"/>
      <c r="D20" s="325"/>
      <c r="E20" s="325"/>
      <c r="F20" s="325"/>
      <c r="G20" s="325"/>
      <c r="H20" s="325"/>
      <c r="I20" s="4">
        <v>11</v>
      </c>
      <c r="J20" s="162"/>
      <c r="K20" s="58"/>
      <c r="L20" s="68"/>
    </row>
    <row r="21" spans="1:12" s="3" customFormat="1" ht="14.1" customHeight="1" x14ac:dyDescent="0.2">
      <c r="A21" s="324" t="s">
        <v>1049</v>
      </c>
      <c r="B21" s="325"/>
      <c r="C21" s="325"/>
      <c r="D21" s="325"/>
      <c r="E21" s="325"/>
      <c r="F21" s="325"/>
      <c r="G21" s="325"/>
      <c r="H21" s="325"/>
      <c r="I21" s="4">
        <v>12</v>
      </c>
      <c r="J21" s="162"/>
      <c r="K21" s="58"/>
      <c r="L21" s="68"/>
    </row>
    <row r="22" spans="1:12" s="3" customFormat="1" ht="14.1" customHeight="1" x14ac:dyDescent="0.2">
      <c r="A22" s="330" t="s">
        <v>1073</v>
      </c>
      <c r="B22" s="331"/>
      <c r="C22" s="331"/>
      <c r="D22" s="331"/>
      <c r="E22" s="331"/>
      <c r="F22" s="331"/>
      <c r="G22" s="331"/>
      <c r="H22" s="331"/>
      <c r="I22" s="4">
        <v>13</v>
      </c>
      <c r="J22" s="162"/>
      <c r="K22" s="59">
        <f>SUM(K16:K21)</f>
        <v>0</v>
      </c>
      <c r="L22" s="67">
        <f>SUM(L16:L21)</f>
        <v>0</v>
      </c>
    </row>
    <row r="23" spans="1:12" s="3" customFormat="1" ht="24.95" customHeight="1" x14ac:dyDescent="0.2">
      <c r="A23" s="330" t="s">
        <v>936</v>
      </c>
      <c r="B23" s="426"/>
      <c r="C23" s="426"/>
      <c r="D23" s="426"/>
      <c r="E23" s="426"/>
      <c r="F23" s="426"/>
      <c r="G23" s="426"/>
      <c r="H23" s="427"/>
      <c r="I23" s="4">
        <v>14</v>
      </c>
      <c r="J23" s="162"/>
      <c r="K23" s="59">
        <f>IF(K15&gt;K22,K15-K22,0)</f>
        <v>0</v>
      </c>
      <c r="L23" s="67">
        <f>IF(L15&gt;L22,L15-L22,0)</f>
        <v>0</v>
      </c>
    </row>
    <row r="24" spans="1:12" s="3" customFormat="1" ht="24.95" customHeight="1" x14ac:dyDescent="0.2">
      <c r="A24" s="363" t="s">
        <v>937</v>
      </c>
      <c r="B24" s="428"/>
      <c r="C24" s="428"/>
      <c r="D24" s="428"/>
      <c r="E24" s="428"/>
      <c r="F24" s="428"/>
      <c r="G24" s="428"/>
      <c r="H24" s="429"/>
      <c r="I24" s="4">
        <v>15</v>
      </c>
      <c r="J24" s="162"/>
      <c r="K24" s="59">
        <f>IF(K22&gt;K15,K22-K15,0)</f>
        <v>0</v>
      </c>
      <c r="L24" s="67">
        <f>IF(L22&gt;L15,L22-L15,0)</f>
        <v>0</v>
      </c>
    </row>
    <row r="25" spans="1:12" s="3" customFormat="1" ht="14.1" customHeight="1" x14ac:dyDescent="0.2">
      <c r="A25" s="401" t="s">
        <v>909</v>
      </c>
      <c r="B25" s="402"/>
      <c r="C25" s="402"/>
      <c r="D25" s="402"/>
      <c r="E25" s="402"/>
      <c r="F25" s="402"/>
      <c r="G25" s="402"/>
      <c r="H25" s="402"/>
      <c r="I25" s="404"/>
      <c r="J25" s="404"/>
      <c r="K25" s="404"/>
      <c r="L25" s="405"/>
    </row>
    <row r="26" spans="1:12" s="3" customFormat="1" ht="14.1" customHeight="1" x14ac:dyDescent="0.2">
      <c r="A26" s="324" t="s">
        <v>1375</v>
      </c>
      <c r="B26" s="325"/>
      <c r="C26" s="325"/>
      <c r="D26" s="325"/>
      <c r="E26" s="325"/>
      <c r="F26" s="325"/>
      <c r="G26" s="325"/>
      <c r="H26" s="325"/>
      <c r="I26" s="4">
        <v>16</v>
      </c>
      <c r="J26" s="162"/>
      <c r="K26" s="58"/>
      <c r="L26" s="68"/>
    </row>
    <row r="27" spans="1:12" s="3" customFormat="1" ht="14.1" customHeight="1" x14ac:dyDescent="0.2">
      <c r="A27" s="324" t="s">
        <v>1376</v>
      </c>
      <c r="B27" s="325"/>
      <c r="C27" s="325"/>
      <c r="D27" s="325"/>
      <c r="E27" s="325"/>
      <c r="F27" s="325"/>
      <c r="G27" s="325"/>
      <c r="H27" s="325"/>
      <c r="I27" s="4">
        <v>17</v>
      </c>
      <c r="J27" s="162"/>
      <c r="K27" s="58"/>
      <c r="L27" s="68"/>
    </row>
    <row r="28" spans="1:12" s="3" customFormat="1" ht="14.1" customHeight="1" x14ac:dyDescent="0.2">
      <c r="A28" s="327" t="s">
        <v>1074</v>
      </c>
      <c r="B28" s="328"/>
      <c r="C28" s="328"/>
      <c r="D28" s="328"/>
      <c r="E28" s="328"/>
      <c r="F28" s="328"/>
      <c r="G28" s="328"/>
      <c r="H28" s="328"/>
      <c r="I28" s="4">
        <v>18</v>
      </c>
      <c r="J28" s="162"/>
      <c r="K28" s="58"/>
      <c r="L28" s="68"/>
    </row>
    <row r="29" spans="1:12" s="3" customFormat="1" ht="14.1" customHeight="1" x14ac:dyDescent="0.2">
      <c r="A29" s="327" t="s">
        <v>1075</v>
      </c>
      <c r="B29" s="328"/>
      <c r="C29" s="328"/>
      <c r="D29" s="328"/>
      <c r="E29" s="328"/>
      <c r="F29" s="328"/>
      <c r="G29" s="328"/>
      <c r="H29" s="328"/>
      <c r="I29" s="4">
        <v>19</v>
      </c>
      <c r="J29" s="162"/>
      <c r="K29" s="58"/>
      <c r="L29" s="68"/>
    </row>
    <row r="30" spans="1:12" s="3" customFormat="1" ht="14.1" customHeight="1" x14ac:dyDescent="0.2">
      <c r="A30" s="324" t="s">
        <v>1377</v>
      </c>
      <c r="B30" s="325"/>
      <c r="C30" s="325"/>
      <c r="D30" s="325"/>
      <c r="E30" s="325"/>
      <c r="F30" s="325"/>
      <c r="G30" s="325"/>
      <c r="H30" s="325"/>
      <c r="I30" s="4">
        <v>20</v>
      </c>
      <c r="J30" s="162"/>
      <c r="K30" s="58"/>
      <c r="L30" s="68"/>
    </row>
    <row r="31" spans="1:12" s="3" customFormat="1" ht="14.1" customHeight="1" x14ac:dyDescent="0.2">
      <c r="A31" s="330" t="s">
        <v>1480</v>
      </c>
      <c r="B31" s="331"/>
      <c r="C31" s="331"/>
      <c r="D31" s="331"/>
      <c r="E31" s="331"/>
      <c r="F31" s="331"/>
      <c r="G31" s="331"/>
      <c r="H31" s="331"/>
      <c r="I31" s="4">
        <v>21</v>
      </c>
      <c r="J31" s="162"/>
      <c r="K31" s="59">
        <f>SUM(K26:K30)</f>
        <v>0</v>
      </c>
      <c r="L31" s="67">
        <f>SUM(L26:L30)</f>
        <v>0</v>
      </c>
    </row>
    <row r="32" spans="1:12" s="3" customFormat="1" ht="14.1" customHeight="1" x14ac:dyDescent="0.2">
      <c r="A32" s="324" t="s">
        <v>1117</v>
      </c>
      <c r="B32" s="325"/>
      <c r="C32" s="325"/>
      <c r="D32" s="325"/>
      <c r="E32" s="325"/>
      <c r="F32" s="325"/>
      <c r="G32" s="325"/>
      <c r="H32" s="325"/>
      <c r="I32" s="4">
        <v>22</v>
      </c>
      <c r="J32" s="162"/>
      <c r="K32" s="58"/>
      <c r="L32" s="68"/>
    </row>
    <row r="33" spans="1:12" s="3" customFormat="1" ht="14.1" customHeight="1" x14ac:dyDescent="0.2">
      <c r="A33" s="324" t="s">
        <v>1118</v>
      </c>
      <c r="B33" s="325"/>
      <c r="C33" s="325"/>
      <c r="D33" s="325"/>
      <c r="E33" s="325"/>
      <c r="F33" s="325"/>
      <c r="G33" s="325"/>
      <c r="H33" s="325"/>
      <c r="I33" s="4">
        <v>23</v>
      </c>
      <c r="J33" s="162"/>
      <c r="K33" s="58"/>
      <c r="L33" s="68"/>
    </row>
    <row r="34" spans="1:12" s="3" customFormat="1" ht="14.1" customHeight="1" x14ac:dyDescent="0.2">
      <c r="A34" s="324" t="s">
        <v>1119</v>
      </c>
      <c r="B34" s="325"/>
      <c r="C34" s="325"/>
      <c r="D34" s="325"/>
      <c r="E34" s="325"/>
      <c r="F34" s="325"/>
      <c r="G34" s="325"/>
      <c r="H34" s="325"/>
      <c r="I34" s="4">
        <v>24</v>
      </c>
      <c r="J34" s="162"/>
      <c r="K34" s="58"/>
      <c r="L34" s="68"/>
    </row>
    <row r="35" spans="1:12" s="3" customFormat="1" ht="14.1" customHeight="1" x14ac:dyDescent="0.2">
      <c r="A35" s="330" t="s">
        <v>1076</v>
      </c>
      <c r="B35" s="331"/>
      <c r="C35" s="331"/>
      <c r="D35" s="331"/>
      <c r="E35" s="331"/>
      <c r="F35" s="331"/>
      <c r="G35" s="331"/>
      <c r="H35" s="331"/>
      <c r="I35" s="4">
        <v>25</v>
      </c>
      <c r="J35" s="162"/>
      <c r="K35" s="59">
        <f>SUM(K32:K34)</f>
        <v>0</v>
      </c>
      <c r="L35" s="67">
        <f>SUM(L32:L34)</f>
        <v>0</v>
      </c>
    </row>
    <row r="36" spans="1:12" s="3" customFormat="1" ht="24.95" customHeight="1" x14ac:dyDescent="0.2">
      <c r="A36" s="330" t="s">
        <v>938</v>
      </c>
      <c r="B36" s="331"/>
      <c r="C36" s="331"/>
      <c r="D36" s="331"/>
      <c r="E36" s="331"/>
      <c r="F36" s="331"/>
      <c r="G36" s="331"/>
      <c r="H36" s="331"/>
      <c r="I36" s="4">
        <v>26</v>
      </c>
      <c r="J36" s="162"/>
      <c r="K36" s="59">
        <f>IF(K31&gt;K35,K31-K35,0)</f>
        <v>0</v>
      </c>
      <c r="L36" s="67">
        <f>IF(L31&gt;L35,L31-L35,0)</f>
        <v>0</v>
      </c>
    </row>
    <row r="37" spans="1:12" s="3" customFormat="1" ht="24.95" customHeight="1" x14ac:dyDescent="0.2">
      <c r="A37" s="330" t="s">
        <v>939</v>
      </c>
      <c r="B37" s="331"/>
      <c r="C37" s="331"/>
      <c r="D37" s="331"/>
      <c r="E37" s="331"/>
      <c r="F37" s="331"/>
      <c r="G37" s="331"/>
      <c r="H37" s="331"/>
      <c r="I37" s="4">
        <v>27</v>
      </c>
      <c r="J37" s="162"/>
      <c r="K37" s="59">
        <f>IF(K35&gt;K31,K35-K31,0)</f>
        <v>0</v>
      </c>
      <c r="L37" s="67">
        <f>IF(L35&gt;L31,L35-L31,0)</f>
        <v>0</v>
      </c>
    </row>
    <row r="38" spans="1:12" s="3" customFormat="1" ht="14.1" customHeight="1" x14ac:dyDescent="0.2">
      <c r="A38" s="401" t="s">
        <v>910</v>
      </c>
      <c r="B38" s="402"/>
      <c r="C38" s="402"/>
      <c r="D38" s="402"/>
      <c r="E38" s="402"/>
      <c r="F38" s="402"/>
      <c r="G38" s="402"/>
      <c r="H38" s="402"/>
      <c r="I38" s="404">
        <v>0</v>
      </c>
      <c r="J38" s="404"/>
      <c r="K38" s="404"/>
      <c r="L38" s="405"/>
    </row>
    <row r="39" spans="1:12" s="3" customFormat="1" ht="14.1" customHeight="1" x14ac:dyDescent="0.2">
      <c r="A39" s="324" t="s">
        <v>942</v>
      </c>
      <c r="B39" s="325"/>
      <c r="C39" s="325"/>
      <c r="D39" s="325"/>
      <c r="E39" s="325"/>
      <c r="F39" s="325"/>
      <c r="G39" s="325"/>
      <c r="H39" s="325"/>
      <c r="I39" s="4">
        <v>28</v>
      </c>
      <c r="J39" s="162"/>
      <c r="K39" s="58"/>
      <c r="L39" s="68"/>
    </row>
    <row r="40" spans="1:12" s="3" customFormat="1" ht="14.1" customHeight="1" x14ac:dyDescent="0.2">
      <c r="A40" s="324" t="s">
        <v>943</v>
      </c>
      <c r="B40" s="325"/>
      <c r="C40" s="325"/>
      <c r="D40" s="325"/>
      <c r="E40" s="325"/>
      <c r="F40" s="325"/>
      <c r="G40" s="325"/>
      <c r="H40" s="325"/>
      <c r="I40" s="4">
        <v>29</v>
      </c>
      <c r="J40" s="162"/>
      <c r="K40" s="58"/>
      <c r="L40" s="68"/>
    </row>
    <row r="41" spans="1:12" s="3" customFormat="1" ht="14.1" customHeight="1" x14ac:dyDescent="0.2">
      <c r="A41" s="324" t="s">
        <v>944</v>
      </c>
      <c r="B41" s="325"/>
      <c r="C41" s="325"/>
      <c r="D41" s="325"/>
      <c r="E41" s="325"/>
      <c r="F41" s="325"/>
      <c r="G41" s="325"/>
      <c r="H41" s="325"/>
      <c r="I41" s="4">
        <v>30</v>
      </c>
      <c r="J41" s="162"/>
      <c r="K41" s="58"/>
      <c r="L41" s="68"/>
    </row>
    <row r="42" spans="1:12" s="3" customFormat="1" ht="14.1" customHeight="1" x14ac:dyDescent="0.2">
      <c r="A42" s="330" t="s">
        <v>1077</v>
      </c>
      <c r="B42" s="331"/>
      <c r="C42" s="331"/>
      <c r="D42" s="331"/>
      <c r="E42" s="331"/>
      <c r="F42" s="331"/>
      <c r="G42" s="331"/>
      <c r="H42" s="331"/>
      <c r="I42" s="4">
        <v>31</v>
      </c>
      <c r="J42" s="162"/>
      <c r="K42" s="59">
        <f>SUM(K39:K41)</f>
        <v>0</v>
      </c>
      <c r="L42" s="67">
        <f>SUM(L39:L41)</f>
        <v>0</v>
      </c>
    </row>
    <row r="43" spans="1:12" s="3" customFormat="1" ht="14.1" customHeight="1" x14ac:dyDescent="0.2">
      <c r="A43" s="324" t="s">
        <v>945</v>
      </c>
      <c r="B43" s="325"/>
      <c r="C43" s="325"/>
      <c r="D43" s="325"/>
      <c r="E43" s="325"/>
      <c r="F43" s="325"/>
      <c r="G43" s="325"/>
      <c r="H43" s="325"/>
      <c r="I43" s="4">
        <v>32</v>
      </c>
      <c r="J43" s="162"/>
      <c r="K43" s="58"/>
      <c r="L43" s="68"/>
    </row>
    <row r="44" spans="1:12" s="3" customFormat="1" ht="14.1" customHeight="1" x14ac:dyDescent="0.2">
      <c r="A44" s="324" t="s">
        <v>946</v>
      </c>
      <c r="B44" s="325"/>
      <c r="C44" s="325"/>
      <c r="D44" s="325"/>
      <c r="E44" s="325"/>
      <c r="F44" s="325"/>
      <c r="G44" s="325"/>
      <c r="H44" s="325"/>
      <c r="I44" s="4">
        <v>33</v>
      </c>
      <c r="J44" s="162"/>
      <c r="K44" s="58"/>
      <c r="L44" s="68"/>
    </row>
    <row r="45" spans="1:12" s="3" customFormat="1" ht="14.1" customHeight="1" x14ac:dyDescent="0.2">
      <c r="A45" s="324" t="s">
        <v>947</v>
      </c>
      <c r="B45" s="325"/>
      <c r="C45" s="325"/>
      <c r="D45" s="325"/>
      <c r="E45" s="325"/>
      <c r="F45" s="325"/>
      <c r="G45" s="325"/>
      <c r="H45" s="325"/>
      <c r="I45" s="4">
        <v>34</v>
      </c>
      <c r="J45" s="162"/>
      <c r="K45" s="58"/>
      <c r="L45" s="68"/>
    </row>
    <row r="46" spans="1:12" s="3" customFormat="1" ht="14.1" customHeight="1" x14ac:dyDescent="0.2">
      <c r="A46" s="324" t="s">
        <v>948</v>
      </c>
      <c r="B46" s="325"/>
      <c r="C46" s="325"/>
      <c r="D46" s="325"/>
      <c r="E46" s="325"/>
      <c r="F46" s="325"/>
      <c r="G46" s="325"/>
      <c r="H46" s="325"/>
      <c r="I46" s="4">
        <v>35</v>
      </c>
      <c r="J46" s="162"/>
      <c r="K46" s="58"/>
      <c r="L46" s="68"/>
    </row>
    <row r="47" spans="1:12" s="3" customFormat="1" ht="14.1" customHeight="1" x14ac:dyDescent="0.2">
      <c r="A47" s="324" t="s">
        <v>949</v>
      </c>
      <c r="B47" s="325"/>
      <c r="C47" s="325"/>
      <c r="D47" s="325"/>
      <c r="E47" s="325"/>
      <c r="F47" s="325"/>
      <c r="G47" s="325"/>
      <c r="H47" s="325"/>
      <c r="I47" s="4">
        <v>36</v>
      </c>
      <c r="J47" s="162"/>
      <c r="K47" s="58"/>
      <c r="L47" s="68"/>
    </row>
    <row r="48" spans="1:12" s="3" customFormat="1" ht="14.1" customHeight="1" x14ac:dyDescent="0.2">
      <c r="A48" s="330" t="s">
        <v>1078</v>
      </c>
      <c r="B48" s="331"/>
      <c r="C48" s="331"/>
      <c r="D48" s="331"/>
      <c r="E48" s="331"/>
      <c r="F48" s="331"/>
      <c r="G48" s="331"/>
      <c r="H48" s="331"/>
      <c r="I48" s="4">
        <v>37</v>
      </c>
      <c r="J48" s="162"/>
      <c r="K48" s="59">
        <f>SUM(K43:K47)</f>
        <v>0</v>
      </c>
      <c r="L48" s="67">
        <f>SUM(L43:L47)</f>
        <v>0</v>
      </c>
    </row>
    <row r="49" spans="1:12" s="3" customFormat="1" ht="24.95" customHeight="1" x14ac:dyDescent="0.2">
      <c r="A49" s="330" t="s">
        <v>940</v>
      </c>
      <c r="B49" s="331"/>
      <c r="C49" s="331"/>
      <c r="D49" s="331"/>
      <c r="E49" s="331"/>
      <c r="F49" s="331"/>
      <c r="G49" s="331"/>
      <c r="H49" s="331"/>
      <c r="I49" s="4">
        <v>38</v>
      </c>
      <c r="J49" s="162"/>
      <c r="K49" s="59">
        <f>IF(K42&gt;K48,K42-K48,0)</f>
        <v>0</v>
      </c>
      <c r="L49" s="67">
        <f>IF(L42&gt;L48,L42-L48,0)</f>
        <v>0</v>
      </c>
    </row>
    <row r="50" spans="1:12" s="3" customFormat="1" ht="24.95" customHeight="1" x14ac:dyDescent="0.2">
      <c r="A50" s="330" t="s">
        <v>941</v>
      </c>
      <c r="B50" s="331"/>
      <c r="C50" s="331"/>
      <c r="D50" s="331"/>
      <c r="E50" s="331"/>
      <c r="F50" s="331"/>
      <c r="G50" s="331"/>
      <c r="H50" s="331"/>
      <c r="I50" s="4">
        <v>39</v>
      </c>
      <c r="J50" s="162"/>
      <c r="K50" s="59">
        <f>IF(K48&gt;K42,K48-K42,0)</f>
        <v>0</v>
      </c>
      <c r="L50" s="67">
        <f>IF(L48&gt;L42,L48-L42,0)</f>
        <v>0</v>
      </c>
    </row>
    <row r="51" spans="1:12" s="3" customFormat="1" ht="14.1" customHeight="1" x14ac:dyDescent="0.2">
      <c r="A51" s="330" t="s">
        <v>1079</v>
      </c>
      <c r="B51" s="331"/>
      <c r="C51" s="331"/>
      <c r="D51" s="331"/>
      <c r="E51" s="331"/>
      <c r="F51" s="331"/>
      <c r="G51" s="331"/>
      <c r="H51" s="331"/>
      <c r="I51" s="4">
        <v>40</v>
      </c>
      <c r="J51" s="162"/>
      <c r="K51" s="59">
        <f>IF(K23-K24+K36-K37+K49-K50&gt;0,K23-K24+K36-K37+K49-K50,0)</f>
        <v>0</v>
      </c>
      <c r="L51" s="67">
        <f>IF(L23-L24+L36-L37+L49-L50&gt;0,L23-L24+L36-L37+L49-L50,0)</f>
        <v>0</v>
      </c>
    </row>
    <row r="52" spans="1:12" s="3" customFormat="1" ht="14.1" customHeight="1" x14ac:dyDescent="0.2">
      <c r="A52" s="330" t="s">
        <v>2221</v>
      </c>
      <c r="B52" s="331"/>
      <c r="C52" s="331"/>
      <c r="D52" s="331"/>
      <c r="E52" s="331"/>
      <c r="F52" s="331"/>
      <c r="G52" s="331"/>
      <c r="H52" s="331"/>
      <c r="I52" s="4">
        <v>41</v>
      </c>
      <c r="J52" s="162"/>
      <c r="K52" s="59">
        <f>IF(K24-K23+K37-K36+K50-K49&gt;0,K24-K23+K37-K36+K50-K49,0)</f>
        <v>0</v>
      </c>
      <c r="L52" s="67">
        <f>IF(L24-L23+L37-L36+L50-L49&gt;0,L24-L23+L37-L36+L50-L49,0)</f>
        <v>0</v>
      </c>
    </row>
    <row r="53" spans="1:12" s="3" customFormat="1" ht="14.1" customHeight="1" x14ac:dyDescent="0.2">
      <c r="A53" s="330" t="s">
        <v>911</v>
      </c>
      <c r="B53" s="331"/>
      <c r="C53" s="331"/>
      <c r="D53" s="331"/>
      <c r="E53" s="331"/>
      <c r="F53" s="331"/>
      <c r="G53" s="331"/>
      <c r="H53" s="331"/>
      <c r="I53" s="4">
        <v>42</v>
      </c>
      <c r="J53" s="162"/>
      <c r="K53" s="58"/>
      <c r="L53" s="68"/>
    </row>
    <row r="54" spans="1:12" s="3" customFormat="1" ht="14.1" customHeight="1" x14ac:dyDescent="0.2">
      <c r="A54" s="330" t="s">
        <v>912</v>
      </c>
      <c r="B54" s="331"/>
      <c r="C54" s="331"/>
      <c r="D54" s="331"/>
      <c r="E54" s="331"/>
      <c r="F54" s="331"/>
      <c r="G54" s="331"/>
      <c r="H54" s="331"/>
      <c r="I54" s="4">
        <v>43</v>
      </c>
      <c r="J54" s="162"/>
      <c r="K54" s="58"/>
      <c r="L54" s="68"/>
    </row>
    <row r="55" spans="1:12" s="3" customFormat="1" ht="14.1" customHeight="1" x14ac:dyDescent="0.2">
      <c r="A55" s="330" t="s">
        <v>913</v>
      </c>
      <c r="B55" s="331"/>
      <c r="C55" s="331"/>
      <c r="D55" s="331"/>
      <c r="E55" s="331"/>
      <c r="F55" s="331"/>
      <c r="G55" s="331"/>
      <c r="H55" s="331"/>
      <c r="I55" s="4">
        <v>44</v>
      </c>
      <c r="J55" s="162"/>
      <c r="K55" s="58"/>
      <c r="L55" s="68"/>
    </row>
    <row r="56" spans="1:12" s="3" customFormat="1" ht="14.1" customHeight="1" x14ac:dyDescent="0.2">
      <c r="A56" s="363" t="s">
        <v>1373</v>
      </c>
      <c r="B56" s="364"/>
      <c r="C56" s="364"/>
      <c r="D56" s="364"/>
      <c r="E56" s="364"/>
      <c r="F56" s="364"/>
      <c r="G56" s="364"/>
      <c r="H56" s="364"/>
      <c r="I56" s="18">
        <v>45</v>
      </c>
      <c r="J56" s="163"/>
      <c r="K56" s="60">
        <f>K53+K54-K55</f>
        <v>0</v>
      </c>
      <c r="L56" s="85">
        <f>L53+L54-L55</f>
        <v>0</v>
      </c>
    </row>
    <row r="57" spans="1:12" ht="12.95" customHeight="1" x14ac:dyDescent="0.2">
      <c r="A57" s="19" t="s">
        <v>169</v>
      </c>
    </row>
    <row r="58" spans="1:12" ht="5.0999999999999996" customHeight="1" x14ac:dyDescent="0.2"/>
  </sheetData>
  <sheetProtection password="C79A" sheet="1" objects="1"/>
  <mergeCells count="55">
    <mergeCell ref="A7:H7"/>
    <mergeCell ref="A8:H8"/>
    <mergeCell ref="A3:K3"/>
    <mergeCell ref="L3:L4"/>
    <mergeCell ref="A4:K4"/>
    <mergeCell ref="A6:L6"/>
    <mergeCell ref="A15:H15"/>
    <mergeCell ref="A13:H13"/>
    <mergeCell ref="A14:H14"/>
    <mergeCell ref="A11:H11"/>
    <mergeCell ref="A12:H12"/>
    <mergeCell ref="A9:L9"/>
    <mergeCell ref="A10:H10"/>
    <mergeCell ref="A20:H20"/>
    <mergeCell ref="A21:H21"/>
    <mergeCell ref="A18:H18"/>
    <mergeCell ref="A19:H19"/>
    <mergeCell ref="A16:H16"/>
    <mergeCell ref="A17:H17"/>
    <mergeCell ref="A27:H27"/>
    <mergeCell ref="A28:H28"/>
    <mergeCell ref="A26:H26"/>
    <mergeCell ref="A23:H23"/>
    <mergeCell ref="A24:H24"/>
    <mergeCell ref="A22:H22"/>
    <mergeCell ref="A35:H35"/>
    <mergeCell ref="A33:H33"/>
    <mergeCell ref="A34:H34"/>
    <mergeCell ref="A31:H31"/>
    <mergeCell ref="A32:H32"/>
    <mergeCell ref="A29:H29"/>
    <mergeCell ref="A30:H30"/>
    <mergeCell ref="A42:H42"/>
    <mergeCell ref="A40:H40"/>
    <mergeCell ref="A41:H41"/>
    <mergeCell ref="A39:H39"/>
    <mergeCell ref="A36:H36"/>
    <mergeCell ref="A37:H37"/>
    <mergeCell ref="A54:H54"/>
    <mergeCell ref="A52:H52"/>
    <mergeCell ref="A55:H55"/>
    <mergeCell ref="A56:H56"/>
    <mergeCell ref="A53:H53"/>
    <mergeCell ref="A43:H43"/>
    <mergeCell ref="A44:H44"/>
    <mergeCell ref="A1:B2"/>
    <mergeCell ref="A50:H50"/>
    <mergeCell ref="A51:H51"/>
    <mergeCell ref="A25:L25"/>
    <mergeCell ref="A38:L38"/>
    <mergeCell ref="A49:H49"/>
    <mergeCell ref="A47:H47"/>
    <mergeCell ref="A48:H48"/>
    <mergeCell ref="A45:H45"/>
    <mergeCell ref="A46:H46"/>
  </mergeCells>
  <phoneticPr fontId="2" type="noConversion"/>
  <dataValidations count="2">
    <dataValidation type="whole" operator="greaterThanOrEqual" allowBlank="1" showInputMessage="1" showErrorMessage="1" errorTitle="Pogrešan unos" error="Mogu se unijeti samo cjelobrojne pozitivne vrijednosti." sqref="K15:L15 K22:L25 K31:L31 K35:L38 K42:L42 K48:L52 K56:L56">
      <formula1>0</formula1>
    </dataValidation>
    <dataValidation type="whole" operator="notEqual" allowBlank="1" showInputMessage="1" showErrorMessage="1" errorTitle="Pogrešan unos" error="Mogu se unijeti samo cjelobrojne vrijednosti." sqref="K53:L55 K10:L14 K16:L21 K26:L30 K32:L34 K39:L41 K43:L47">
      <formula1>9999999998</formula1>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5118110236220474" right="0.55118110236220474" top="0.78740157480314965" bottom="0.78740157480314965" header="0.59055118110236227" footer="0.59055118110236227"/>
  <pageSetup paperSize="9" scale="86"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R31"/>
  <sheetViews>
    <sheetView showGridLines="0" showRowColHeaders="0" workbookViewId="0">
      <pane ySplit="8" topLeftCell="A9" activePane="bottomLeft" state="frozen"/>
      <selection pane="bottomLeft" activeCell="A9" sqref="A9:H9"/>
    </sheetView>
  </sheetViews>
  <sheetFormatPr defaultColWidth="0" defaultRowHeight="12.75" zeroHeight="1" x14ac:dyDescent="0.2"/>
  <cols>
    <col min="1" max="3" width="7.7109375" customWidth="1"/>
    <col min="4" max="4" width="8.7109375" customWidth="1"/>
    <col min="5" max="5" width="7.7109375" customWidth="1"/>
    <col min="6" max="6" width="6.7109375" customWidth="1"/>
    <col min="7" max="10" width="7.7109375" customWidth="1"/>
    <col min="11" max="12" width="14.7109375" customWidth="1"/>
    <col min="13" max="13" width="0.85546875" customWidth="1"/>
    <col min="14" max="14" width="5.7109375" hidden="1" customWidth="1"/>
    <col min="15" max="15" width="10" hidden="1" customWidth="1"/>
    <col min="16" max="16" width="10.7109375" hidden="1" customWidth="1"/>
  </cols>
  <sheetData>
    <row r="1" spans="1:18" ht="20.100000000000001" customHeight="1" x14ac:dyDescent="0.2">
      <c r="A1" s="312" t="s">
        <v>559</v>
      </c>
      <c r="B1" s="313"/>
      <c r="C1" s="126" t="s">
        <v>95</v>
      </c>
      <c r="D1" s="123" t="s">
        <v>560</v>
      </c>
      <c r="E1" s="123" t="s">
        <v>1410</v>
      </c>
      <c r="F1" s="144" t="s">
        <v>2177</v>
      </c>
      <c r="G1" s="123" t="s">
        <v>96</v>
      </c>
      <c r="H1" s="144" t="s">
        <v>97</v>
      </c>
      <c r="I1" s="123" t="s">
        <v>1411</v>
      </c>
      <c r="J1" s="124" t="s">
        <v>98</v>
      </c>
      <c r="K1" s="3"/>
      <c r="L1" s="3"/>
      <c r="O1" s="36">
        <f>SUM(O9:O28)</f>
        <v>12102271000</v>
      </c>
      <c r="P1" s="36">
        <f>SUM(P9:P28)</f>
        <v>5987390000</v>
      </c>
      <c r="Q1" s="36">
        <f>IF(SUM(K9:K25)&lt;&gt;0,1,0)-IF(SUM(K27:K28)&lt;&gt;0,1,0)</f>
        <v>0</v>
      </c>
      <c r="R1" s="36">
        <f>IF(SUM(L9:L25)&lt;&gt;0,1,0)-IF(SUM(L27:L28)&lt;&gt;0,1,0)</f>
        <v>0</v>
      </c>
    </row>
    <row r="2" spans="1:18" s="3" customFormat="1" ht="20.100000000000001" customHeight="1" thickBot="1" x14ac:dyDescent="0.25">
      <c r="A2" s="314"/>
      <c r="B2" s="315"/>
      <c r="C2" s="127" t="s">
        <v>1114</v>
      </c>
      <c r="D2" s="128" t="s">
        <v>1413</v>
      </c>
      <c r="E2" s="128" t="s">
        <v>1115</v>
      </c>
      <c r="F2" s="128" t="s">
        <v>1412</v>
      </c>
      <c r="G2" s="128" t="s">
        <v>99</v>
      </c>
      <c r="H2" s="128" t="s">
        <v>1116</v>
      </c>
      <c r="I2" s="129" t="s">
        <v>100</v>
      </c>
      <c r="J2" s="125"/>
      <c r="Q2" s="3">
        <f>IF(SUM(K27:K28)&lt;&gt;0,1,0)</f>
        <v>1</v>
      </c>
      <c r="R2" s="3">
        <f>IF(SUM(L27:L28)&lt;&gt;0,1,0)</f>
        <v>1</v>
      </c>
    </row>
    <row r="3" spans="1:18" s="3" customFormat="1" ht="20.100000000000001" customHeight="1" x14ac:dyDescent="0.25">
      <c r="A3" s="439" t="s">
        <v>2607</v>
      </c>
      <c r="B3" s="440"/>
      <c r="C3" s="440"/>
      <c r="D3" s="440"/>
      <c r="E3" s="440"/>
      <c r="F3" s="440"/>
      <c r="G3" s="440"/>
      <c r="H3" s="440"/>
      <c r="I3" s="440"/>
      <c r="J3" s="440"/>
      <c r="K3" s="395"/>
      <c r="L3" s="350" t="s">
        <v>2510</v>
      </c>
    </row>
    <row r="4" spans="1:18" s="3" customFormat="1" ht="20.100000000000001" customHeight="1" thickBot="1" x14ac:dyDescent="0.25">
      <c r="A4" s="396" t="str">
        <f xml:space="preserve"> "od " &amp; IF(Opci!E5&lt;&gt;"", TEXT(Opci!E5, "DD.MM.YYYY."), "__.__.____.") &amp; " do " &amp; IF(Opci!H5&lt;&gt;"", TEXT(Opci!H5, "DD.MM.YYYY."),"__.__.____.")</f>
        <v>od 01.01.2009. do 31.03.2009.</v>
      </c>
      <c r="B4" s="397"/>
      <c r="C4" s="397"/>
      <c r="D4" s="397"/>
      <c r="E4" s="397"/>
      <c r="F4" s="397"/>
      <c r="G4" s="397"/>
      <c r="H4" s="397"/>
      <c r="I4" s="397"/>
      <c r="J4" s="397"/>
      <c r="K4" s="395"/>
      <c r="L4" s="415"/>
    </row>
    <row r="5" spans="1:18" s="3" customFormat="1" ht="5.0999999999999996" customHeight="1" x14ac:dyDescent="0.2">
      <c r="A5" s="86"/>
      <c r="B5" s="84"/>
      <c r="C5" s="84"/>
      <c r="D5" s="84"/>
      <c r="E5" s="84"/>
      <c r="F5" s="84"/>
      <c r="G5" s="84"/>
      <c r="H5" s="84"/>
      <c r="I5" s="84"/>
      <c r="J5" s="84"/>
      <c r="K5" s="87"/>
    </row>
    <row r="6" spans="1:18" s="3" customFormat="1" ht="20.100000000000001" customHeight="1" x14ac:dyDescent="0.2">
      <c r="A6" s="420" t="str">
        <f>"Obveznik: "&amp;IF(Opci!C19&lt;&gt;"",Opci!C19,"________") &amp; "; " &amp; IF(Opci!C25&lt;&gt;"",Opci!C25,"_____________________________________________________________"&amp;"; "&amp;IF(Opci!F27&lt;&gt;"",Opci!F27,"_______________"))</f>
        <v>Obveznik: 03454088; PODRAVKA GRUPA</v>
      </c>
      <c r="B6" s="421"/>
      <c r="C6" s="421"/>
      <c r="D6" s="421"/>
      <c r="E6" s="421"/>
      <c r="F6" s="421"/>
      <c r="G6" s="421"/>
      <c r="H6" s="421"/>
      <c r="I6" s="421"/>
      <c r="J6" s="421"/>
      <c r="K6" s="421"/>
      <c r="L6" s="422"/>
    </row>
    <row r="7" spans="1:18" s="3" customFormat="1" ht="24.75" customHeight="1" thickBot="1" x14ac:dyDescent="0.25">
      <c r="A7" s="418" t="s">
        <v>2618</v>
      </c>
      <c r="B7" s="418"/>
      <c r="C7" s="418"/>
      <c r="D7" s="418"/>
      <c r="E7" s="418"/>
      <c r="F7" s="418"/>
      <c r="G7" s="418"/>
      <c r="H7" s="418"/>
      <c r="I7" s="132" t="s">
        <v>101</v>
      </c>
      <c r="J7" s="138" t="s">
        <v>102</v>
      </c>
      <c r="K7" s="133" t="s">
        <v>898</v>
      </c>
      <c r="L7" s="133" t="s">
        <v>899</v>
      </c>
    </row>
    <row r="8" spans="1:18" s="3" customFormat="1" ht="14.1" customHeight="1" x14ac:dyDescent="0.2">
      <c r="A8" s="438">
        <v>1</v>
      </c>
      <c r="B8" s="438"/>
      <c r="C8" s="438"/>
      <c r="D8" s="438"/>
      <c r="E8" s="438"/>
      <c r="F8" s="438"/>
      <c r="G8" s="438"/>
      <c r="H8" s="438"/>
      <c r="I8" s="159">
        <v>2</v>
      </c>
      <c r="J8" s="160">
        <v>3</v>
      </c>
      <c r="K8" s="158">
        <v>4</v>
      </c>
      <c r="L8" s="158">
        <v>5</v>
      </c>
    </row>
    <row r="9" spans="1:18" s="3" customFormat="1" ht="14.1" customHeight="1" x14ac:dyDescent="0.2">
      <c r="A9" s="324" t="s">
        <v>1557</v>
      </c>
      <c r="B9" s="325"/>
      <c r="C9" s="325"/>
      <c r="D9" s="325"/>
      <c r="E9" s="325"/>
      <c r="F9" s="325"/>
      <c r="G9" s="325"/>
      <c r="H9" s="325"/>
      <c r="I9" s="4">
        <v>1</v>
      </c>
      <c r="J9" s="164"/>
      <c r="K9" s="66">
        <v>1626001000</v>
      </c>
      <c r="L9" s="66">
        <v>1626001000</v>
      </c>
      <c r="O9" s="36">
        <f t="shared" ref="O9:O25" si="0">ABS(K9)+ABS(L9)</f>
        <v>3252002000</v>
      </c>
      <c r="P9" s="3">
        <f>ABS(K9)</f>
        <v>1626001000</v>
      </c>
    </row>
    <row r="10" spans="1:18" s="3" customFormat="1" ht="14.1" customHeight="1" x14ac:dyDescent="0.2">
      <c r="A10" s="324" t="s">
        <v>1558</v>
      </c>
      <c r="B10" s="325"/>
      <c r="C10" s="325"/>
      <c r="D10" s="325"/>
      <c r="E10" s="325"/>
      <c r="F10" s="325"/>
      <c r="G10" s="325"/>
      <c r="H10" s="325"/>
      <c r="I10" s="4">
        <v>2</v>
      </c>
      <c r="J10" s="164"/>
      <c r="K10" s="68">
        <v>33164000</v>
      </c>
      <c r="L10" s="68">
        <v>22569000</v>
      </c>
      <c r="O10" s="36">
        <f t="shared" si="0"/>
        <v>55733000</v>
      </c>
      <c r="P10" s="3">
        <f t="shared" ref="P10:P28" si="1">ABS(K10)</f>
        <v>33164000</v>
      </c>
    </row>
    <row r="11" spans="1:18" s="3" customFormat="1" ht="14.1" customHeight="1" x14ac:dyDescent="0.2">
      <c r="A11" s="324" t="s">
        <v>1559</v>
      </c>
      <c r="B11" s="325"/>
      <c r="C11" s="325"/>
      <c r="D11" s="325"/>
      <c r="E11" s="325"/>
      <c r="F11" s="325"/>
      <c r="G11" s="325"/>
      <c r="H11" s="325"/>
      <c r="I11" s="4">
        <v>3</v>
      </c>
      <c r="J11" s="164"/>
      <c r="K11" s="68">
        <v>121013000</v>
      </c>
      <c r="L11" s="68">
        <v>85811000</v>
      </c>
      <c r="O11" s="36">
        <f t="shared" si="0"/>
        <v>206824000</v>
      </c>
      <c r="P11" s="3">
        <f t="shared" si="1"/>
        <v>121013000</v>
      </c>
    </row>
    <row r="12" spans="1:18" s="3" customFormat="1" ht="14.1" customHeight="1" x14ac:dyDescent="0.2">
      <c r="A12" s="324" t="s">
        <v>585</v>
      </c>
      <c r="B12" s="325"/>
      <c r="C12" s="325"/>
      <c r="D12" s="325"/>
      <c r="E12" s="325"/>
      <c r="F12" s="325"/>
      <c r="G12" s="325"/>
      <c r="H12" s="325"/>
      <c r="I12" s="4">
        <v>4</v>
      </c>
      <c r="J12" s="164"/>
      <c r="K12" s="68">
        <v>177864000</v>
      </c>
      <c r="L12" s="68">
        <v>258527000</v>
      </c>
      <c r="O12" s="36">
        <f t="shared" si="0"/>
        <v>436391000</v>
      </c>
      <c r="P12" s="3">
        <f t="shared" si="1"/>
        <v>177864000</v>
      </c>
    </row>
    <row r="13" spans="1:18" s="3" customFormat="1" ht="14.1" customHeight="1" x14ac:dyDescent="0.2">
      <c r="A13" s="324" t="s">
        <v>586</v>
      </c>
      <c r="B13" s="325"/>
      <c r="C13" s="325"/>
      <c r="D13" s="325"/>
      <c r="E13" s="325"/>
      <c r="F13" s="325"/>
      <c r="G13" s="325"/>
      <c r="H13" s="325"/>
      <c r="I13" s="4">
        <v>5</v>
      </c>
      <c r="J13" s="164"/>
      <c r="K13" s="68">
        <v>15831000</v>
      </c>
      <c r="L13" s="68">
        <v>6201000</v>
      </c>
      <c r="O13" s="36">
        <f t="shared" si="0"/>
        <v>22032000</v>
      </c>
      <c r="P13" s="3">
        <f t="shared" si="1"/>
        <v>15831000</v>
      </c>
    </row>
    <row r="14" spans="1:18" s="3" customFormat="1" ht="14.1" customHeight="1" x14ac:dyDescent="0.2">
      <c r="A14" s="324" t="s">
        <v>587</v>
      </c>
      <c r="B14" s="325"/>
      <c r="C14" s="325"/>
      <c r="D14" s="325"/>
      <c r="E14" s="325"/>
      <c r="F14" s="325"/>
      <c r="G14" s="325"/>
      <c r="H14" s="325"/>
      <c r="I14" s="4">
        <v>6</v>
      </c>
      <c r="J14" s="164"/>
      <c r="K14" s="68"/>
      <c r="L14" s="68"/>
      <c r="O14" s="36">
        <f t="shared" si="0"/>
        <v>0</v>
      </c>
      <c r="P14" s="3">
        <f t="shared" si="1"/>
        <v>0</v>
      </c>
    </row>
    <row r="15" spans="1:18" s="3" customFormat="1" ht="14.1" customHeight="1" x14ac:dyDescent="0.2">
      <c r="A15" s="324" t="s">
        <v>588</v>
      </c>
      <c r="B15" s="325"/>
      <c r="C15" s="325"/>
      <c r="D15" s="325"/>
      <c r="E15" s="325"/>
      <c r="F15" s="325"/>
      <c r="G15" s="325"/>
      <c r="H15" s="325"/>
      <c r="I15" s="4">
        <v>7</v>
      </c>
      <c r="J15" s="164"/>
      <c r="K15" s="68"/>
      <c r="L15" s="68"/>
      <c r="O15" s="36">
        <f t="shared" si="0"/>
        <v>0</v>
      </c>
      <c r="P15" s="3">
        <f t="shared" si="1"/>
        <v>0</v>
      </c>
    </row>
    <row r="16" spans="1:18" s="3" customFormat="1" ht="14.1" customHeight="1" x14ac:dyDescent="0.2">
      <c r="A16" s="324" t="s">
        <v>491</v>
      </c>
      <c r="B16" s="325"/>
      <c r="C16" s="325"/>
      <c r="D16" s="325"/>
      <c r="E16" s="325"/>
      <c r="F16" s="325"/>
      <c r="G16" s="325"/>
      <c r="H16" s="325"/>
      <c r="I16" s="4">
        <v>8</v>
      </c>
      <c r="J16" s="164"/>
      <c r="K16" s="68"/>
      <c r="L16" s="68"/>
      <c r="O16" s="36">
        <f t="shared" si="0"/>
        <v>0</v>
      </c>
      <c r="P16" s="3">
        <f t="shared" si="1"/>
        <v>0</v>
      </c>
    </row>
    <row r="17" spans="1:16" s="3" customFormat="1" ht="14.1" customHeight="1" x14ac:dyDescent="0.2">
      <c r="A17" s="324" t="s">
        <v>492</v>
      </c>
      <c r="B17" s="325"/>
      <c r="C17" s="325"/>
      <c r="D17" s="325"/>
      <c r="E17" s="325"/>
      <c r="F17" s="325"/>
      <c r="G17" s="325"/>
      <c r="H17" s="325"/>
      <c r="I17" s="4">
        <v>9</v>
      </c>
      <c r="J17" s="164"/>
      <c r="K17" s="68"/>
      <c r="L17" s="68"/>
      <c r="O17" s="36">
        <f t="shared" si="0"/>
        <v>0</v>
      </c>
      <c r="P17" s="3">
        <f t="shared" si="1"/>
        <v>0</v>
      </c>
    </row>
    <row r="18" spans="1:16" s="3" customFormat="1" ht="14.1" customHeight="1" x14ac:dyDescent="0.2">
      <c r="A18" s="330" t="s">
        <v>1916</v>
      </c>
      <c r="B18" s="331"/>
      <c r="C18" s="331"/>
      <c r="D18" s="331"/>
      <c r="E18" s="331"/>
      <c r="F18" s="331"/>
      <c r="G18" s="331"/>
      <c r="H18" s="331"/>
      <c r="I18" s="4">
        <v>10</v>
      </c>
      <c r="J18" s="164"/>
      <c r="K18" s="67">
        <f>SUM(K9:K17)</f>
        <v>1973873000</v>
      </c>
      <c r="L18" s="67">
        <f>SUM(L9:L17)</f>
        <v>1999109000</v>
      </c>
      <c r="O18" s="36">
        <f>ABS(K18)+ABS(L18)</f>
        <v>3972982000</v>
      </c>
      <c r="P18" s="3">
        <f>ABS(K18)</f>
        <v>1973873000</v>
      </c>
    </row>
    <row r="19" spans="1:16" s="3" customFormat="1" ht="14.1" customHeight="1" x14ac:dyDescent="0.2">
      <c r="A19" s="324" t="s">
        <v>1917</v>
      </c>
      <c r="B19" s="325"/>
      <c r="C19" s="325"/>
      <c r="D19" s="325"/>
      <c r="E19" s="325"/>
      <c r="F19" s="325"/>
      <c r="G19" s="325"/>
      <c r="H19" s="325"/>
      <c r="I19" s="4">
        <v>11</v>
      </c>
      <c r="J19" s="164"/>
      <c r="K19" s="68">
        <v>17566000</v>
      </c>
      <c r="L19" s="68">
        <v>-15349000</v>
      </c>
      <c r="O19" s="36">
        <f t="shared" si="0"/>
        <v>32915000</v>
      </c>
      <c r="P19" s="3">
        <f t="shared" si="1"/>
        <v>17566000</v>
      </c>
    </row>
    <row r="20" spans="1:16" s="3" customFormat="1" ht="14.1" customHeight="1" x14ac:dyDescent="0.2">
      <c r="A20" s="324" t="s">
        <v>1918</v>
      </c>
      <c r="B20" s="325"/>
      <c r="C20" s="325"/>
      <c r="D20" s="325"/>
      <c r="E20" s="325"/>
      <c r="F20" s="325"/>
      <c r="G20" s="325"/>
      <c r="H20" s="325"/>
      <c r="I20" s="4">
        <v>12</v>
      </c>
      <c r="J20" s="164"/>
      <c r="K20" s="68"/>
      <c r="L20" s="68"/>
      <c r="O20" s="36">
        <f t="shared" si="0"/>
        <v>0</v>
      </c>
      <c r="P20" s="3">
        <f t="shared" si="1"/>
        <v>0</v>
      </c>
    </row>
    <row r="21" spans="1:16" s="3" customFormat="1" ht="14.1" customHeight="1" x14ac:dyDescent="0.2">
      <c r="A21" s="324" t="s">
        <v>2259</v>
      </c>
      <c r="B21" s="325"/>
      <c r="C21" s="325"/>
      <c r="D21" s="325"/>
      <c r="E21" s="325"/>
      <c r="F21" s="325"/>
      <c r="G21" s="325"/>
      <c r="H21" s="325"/>
      <c r="I21" s="4">
        <v>13</v>
      </c>
      <c r="J21" s="164"/>
      <c r="K21" s="68"/>
      <c r="L21" s="68"/>
      <c r="O21" s="36">
        <f t="shared" si="0"/>
        <v>0</v>
      </c>
      <c r="P21" s="3">
        <f t="shared" si="1"/>
        <v>0</v>
      </c>
    </row>
    <row r="22" spans="1:16" s="3" customFormat="1" ht="14.1" customHeight="1" x14ac:dyDescent="0.2">
      <c r="A22" s="324" t="s">
        <v>2260</v>
      </c>
      <c r="B22" s="325"/>
      <c r="C22" s="325"/>
      <c r="D22" s="325"/>
      <c r="E22" s="325"/>
      <c r="F22" s="325"/>
      <c r="G22" s="325"/>
      <c r="H22" s="325"/>
      <c r="I22" s="4">
        <v>14</v>
      </c>
      <c r="J22" s="164"/>
      <c r="K22" s="68"/>
      <c r="L22" s="68"/>
      <c r="O22" s="36">
        <f t="shared" si="0"/>
        <v>0</v>
      </c>
      <c r="P22" s="3">
        <f t="shared" si="1"/>
        <v>0</v>
      </c>
    </row>
    <row r="23" spans="1:16" s="3" customFormat="1" ht="14.1" customHeight="1" x14ac:dyDescent="0.2">
      <c r="A23" s="324" t="s">
        <v>2261</v>
      </c>
      <c r="B23" s="325"/>
      <c r="C23" s="325"/>
      <c r="D23" s="325"/>
      <c r="E23" s="325"/>
      <c r="F23" s="325"/>
      <c r="G23" s="325"/>
      <c r="H23" s="325"/>
      <c r="I23" s="4">
        <v>15</v>
      </c>
      <c r="J23" s="164"/>
      <c r="K23" s="68"/>
      <c r="L23" s="68"/>
      <c r="O23" s="36">
        <f t="shared" si="0"/>
        <v>0</v>
      </c>
      <c r="P23" s="3">
        <f t="shared" si="1"/>
        <v>0</v>
      </c>
    </row>
    <row r="24" spans="1:16" s="3" customFormat="1" ht="14.1" customHeight="1" x14ac:dyDescent="0.2">
      <c r="A24" s="324" t="s">
        <v>2262</v>
      </c>
      <c r="B24" s="325"/>
      <c r="C24" s="325"/>
      <c r="D24" s="325"/>
      <c r="E24" s="325"/>
      <c r="F24" s="325"/>
      <c r="G24" s="325"/>
      <c r="H24" s="325"/>
      <c r="I24" s="4">
        <v>16</v>
      </c>
      <c r="J24" s="164"/>
      <c r="K24" s="68">
        <v>-48205000</v>
      </c>
      <c r="L24" s="68">
        <v>-67604000</v>
      </c>
      <c r="O24" s="36">
        <f t="shared" si="0"/>
        <v>115809000</v>
      </c>
      <c r="P24" s="3">
        <f t="shared" si="1"/>
        <v>48205000</v>
      </c>
    </row>
    <row r="25" spans="1:16" s="3" customFormat="1" ht="14.1" customHeight="1" x14ac:dyDescent="0.2">
      <c r="A25" s="330" t="s">
        <v>950</v>
      </c>
      <c r="B25" s="331"/>
      <c r="C25" s="331"/>
      <c r="D25" s="331"/>
      <c r="E25" s="331"/>
      <c r="F25" s="331"/>
      <c r="G25" s="331"/>
      <c r="H25" s="331"/>
      <c r="I25" s="4">
        <v>17</v>
      </c>
      <c r="J25" s="164"/>
      <c r="K25" s="85">
        <f>SUM(K19:K24)</f>
        <v>-30639000</v>
      </c>
      <c r="L25" s="85">
        <f>SUM(L19:L24)</f>
        <v>-82953000</v>
      </c>
      <c r="O25" s="36">
        <f t="shared" si="0"/>
        <v>113592000</v>
      </c>
      <c r="P25" s="3">
        <f t="shared" si="1"/>
        <v>30639000</v>
      </c>
    </row>
    <row r="26" spans="1:16" s="3" customFormat="1" ht="15" customHeight="1" x14ac:dyDescent="0.2">
      <c r="A26" s="434"/>
      <c r="B26" s="435"/>
      <c r="C26" s="435"/>
      <c r="D26" s="435"/>
      <c r="E26" s="435"/>
      <c r="F26" s="435"/>
      <c r="G26" s="435"/>
      <c r="H26" s="435"/>
      <c r="I26" s="436"/>
      <c r="J26" s="436"/>
      <c r="K26" s="436"/>
      <c r="L26" s="437"/>
      <c r="O26" s="36"/>
      <c r="P26" s="3">
        <f t="shared" si="1"/>
        <v>0</v>
      </c>
    </row>
    <row r="27" spans="1:16" s="3" customFormat="1" ht="14.1" customHeight="1" x14ac:dyDescent="0.2">
      <c r="A27" s="432" t="s">
        <v>2744</v>
      </c>
      <c r="B27" s="433"/>
      <c r="C27" s="433"/>
      <c r="D27" s="433"/>
      <c r="E27" s="433"/>
      <c r="F27" s="433"/>
      <c r="G27" s="433"/>
      <c r="H27" s="433"/>
      <c r="I27" s="53">
        <v>18</v>
      </c>
      <c r="J27" s="165"/>
      <c r="K27" s="66">
        <v>1943234000</v>
      </c>
      <c r="L27" s="66">
        <v>1916156000</v>
      </c>
      <c r="O27" s="36">
        <f>ABS(K27)+ABS(L27)</f>
        <v>3859390000</v>
      </c>
      <c r="P27" s="3">
        <f t="shared" si="1"/>
        <v>1943234000</v>
      </c>
    </row>
    <row r="28" spans="1:16" s="3" customFormat="1" ht="14.1" customHeight="1" x14ac:dyDescent="0.2">
      <c r="A28" s="358" t="s">
        <v>2745</v>
      </c>
      <c r="B28" s="359"/>
      <c r="C28" s="359"/>
      <c r="D28" s="359"/>
      <c r="E28" s="359"/>
      <c r="F28" s="359"/>
      <c r="G28" s="359"/>
      <c r="H28" s="359"/>
      <c r="I28" s="20">
        <v>19</v>
      </c>
      <c r="J28" s="166"/>
      <c r="K28" s="71">
        <v>0</v>
      </c>
      <c r="L28" s="71">
        <v>34601000</v>
      </c>
      <c r="O28" s="36">
        <f>ABS(K28)+ABS(L28)</f>
        <v>34601000</v>
      </c>
      <c r="P28" s="3">
        <f t="shared" si="1"/>
        <v>0</v>
      </c>
    </row>
    <row r="29" spans="1:16" s="3" customFormat="1" ht="30" customHeight="1" x14ac:dyDescent="0.2">
      <c r="A29" s="430" t="s">
        <v>1287</v>
      </c>
      <c r="B29" s="431"/>
      <c r="C29" s="431"/>
      <c r="D29" s="431"/>
      <c r="E29" s="431"/>
      <c r="F29" s="431"/>
      <c r="G29" s="431"/>
      <c r="H29" s="431"/>
      <c r="I29" s="431"/>
      <c r="J29" s="431"/>
      <c r="K29" s="431"/>
      <c r="L29" s="431"/>
      <c r="O29" s="36"/>
    </row>
    <row r="30" spans="1:16" ht="5.0999999999999996" customHeight="1" x14ac:dyDescent="0.2"/>
    <row r="31" spans="1:16" hidden="1" x14ac:dyDescent="0.2"/>
  </sheetData>
  <sheetProtection password="C79A" sheet="1" objects="1"/>
  <mergeCells count="28">
    <mergeCell ref="A7:H7"/>
    <mergeCell ref="A8:H8"/>
    <mergeCell ref="A3:K3"/>
    <mergeCell ref="L3:L4"/>
    <mergeCell ref="A4:K4"/>
    <mergeCell ref="A6:L6"/>
    <mergeCell ref="A13:H13"/>
    <mergeCell ref="A14:H14"/>
    <mergeCell ref="A11:H11"/>
    <mergeCell ref="A12:H12"/>
    <mergeCell ref="A9:H9"/>
    <mergeCell ref="A10:H10"/>
    <mergeCell ref="A21:H21"/>
    <mergeCell ref="A17:H17"/>
    <mergeCell ref="A19:H19"/>
    <mergeCell ref="A15:H15"/>
    <mergeCell ref="A16:H16"/>
    <mergeCell ref="A18:H18"/>
    <mergeCell ref="A29:L29"/>
    <mergeCell ref="A1:B2"/>
    <mergeCell ref="A27:H27"/>
    <mergeCell ref="A28:H28"/>
    <mergeCell ref="A26:L26"/>
    <mergeCell ref="A24:H24"/>
    <mergeCell ref="A25:H25"/>
    <mergeCell ref="A22:H22"/>
    <mergeCell ref="A23:H23"/>
    <mergeCell ref="A20:H20"/>
  </mergeCells>
  <phoneticPr fontId="2" type="noConversion"/>
  <dataValidations count="3">
    <dataValidation type="whole" operator="greaterThanOrEqual" allowBlank="1" showInputMessage="1" showErrorMessage="1" errorTitle="Pogrešan unos" error="Mogu se unijeti samo cjelobrojne pozitivne vrijednosti." sqref="K18:L18 K25:L26">
      <formula1>0</formula1>
    </dataValidation>
    <dataValidation type="whole" operator="notEqual" allowBlank="1" showInputMessage="1" showErrorMessage="1" errorTitle="Pogrešan unos" error="Mogu se unijeti samo cjelobrojne vrijednosti." sqref="K9:L17 K19:L24">
      <formula1>999999999999</formula1>
    </dataValidation>
    <dataValidation type="whole" operator="notEqual" allowBlank="1" showInputMessage="1" showErrorMessage="1" errorTitle="Pogrešan unos" error="Mogu se unijeti samo cjelobrojne vrijednosti." sqref="K27:L28">
      <formula1>9999999999</formula1>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5118110236220474" right="0.55118110236220474" top="0.78740157480314965" bottom="0.78740157480314965" header="0.59055118110236227" footer="0.59055118110236227"/>
  <pageSetup paperSize="9" scale="86"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O109"/>
  <sheetViews>
    <sheetView showGridLines="0" showRowColHeaders="0" workbookViewId="0">
      <pane ySplit="8" topLeftCell="A9" activePane="bottomLeft" state="frozen"/>
      <selection pane="bottomLeft" activeCell="A9" sqref="A9"/>
    </sheetView>
  </sheetViews>
  <sheetFormatPr defaultColWidth="0" defaultRowHeight="12.75" zeroHeight="1" x14ac:dyDescent="0.2"/>
  <cols>
    <col min="1" max="2" width="7.7109375" customWidth="1"/>
    <col min="3" max="6" width="9.7109375" customWidth="1"/>
    <col min="7" max="10" width="10.7109375" customWidth="1"/>
    <col min="11" max="11" width="9.7109375" customWidth="1"/>
    <col min="12" max="12" width="0.85546875" customWidth="1"/>
  </cols>
  <sheetData>
    <row r="1" spans="1:15" ht="20.100000000000001" customHeight="1" x14ac:dyDescent="0.2">
      <c r="A1" s="312" t="s">
        <v>559</v>
      </c>
      <c r="B1" s="313"/>
      <c r="C1" s="126" t="s">
        <v>95</v>
      </c>
      <c r="D1" s="123" t="s">
        <v>560</v>
      </c>
      <c r="E1" s="123" t="s">
        <v>1410</v>
      </c>
      <c r="F1" s="144" t="s">
        <v>2177</v>
      </c>
      <c r="G1" s="123" t="s">
        <v>96</v>
      </c>
      <c r="H1" s="144" t="s">
        <v>97</v>
      </c>
      <c r="I1" s="123" t="s">
        <v>1411</v>
      </c>
      <c r="J1" s="124" t="s">
        <v>98</v>
      </c>
      <c r="O1" s="3">
        <f>SUM(N9:N108)</f>
        <v>0</v>
      </c>
    </row>
    <row r="2" spans="1:15" s="3" customFormat="1" ht="20.100000000000001" customHeight="1" x14ac:dyDescent="0.2">
      <c r="A2" s="314"/>
      <c r="B2" s="315"/>
      <c r="C2" s="127" t="s">
        <v>1114</v>
      </c>
      <c r="D2" s="128" t="s">
        <v>1413</v>
      </c>
      <c r="E2" s="128" t="s">
        <v>1115</v>
      </c>
      <c r="F2" s="128" t="s">
        <v>1412</v>
      </c>
      <c r="G2" s="128" t="s">
        <v>99</v>
      </c>
      <c r="H2" s="128" t="s">
        <v>1116</v>
      </c>
      <c r="I2" s="129" t="s">
        <v>100</v>
      </c>
      <c r="J2" s="125"/>
    </row>
    <row r="3" spans="1:15" s="3" customFormat="1" ht="60.75" customHeight="1" x14ac:dyDescent="0.2">
      <c r="A3" s="456" t="s">
        <v>2743</v>
      </c>
      <c r="B3" s="457"/>
      <c r="C3" s="458"/>
      <c r="D3" s="458"/>
      <c r="E3" s="458"/>
      <c r="F3" s="458"/>
      <c r="G3" s="458"/>
      <c r="H3" s="458"/>
      <c r="I3" s="458"/>
      <c r="J3" s="458"/>
      <c r="K3" s="459"/>
    </row>
    <row r="4" spans="1:15" s="3" customFormat="1" ht="20.100000000000001" customHeight="1" x14ac:dyDescent="0.2">
      <c r="A4" s="466" t="s">
        <v>377</v>
      </c>
      <c r="B4" s="467"/>
      <c r="C4" s="467"/>
      <c r="D4" s="467"/>
      <c r="E4" s="467"/>
      <c r="F4" s="467"/>
      <c r="G4" s="467"/>
      <c r="H4" s="467"/>
      <c r="I4" s="468"/>
      <c r="J4" s="468"/>
      <c r="K4" s="469"/>
    </row>
    <row r="5" spans="1:15" s="3" customFormat="1" ht="20.100000000000001" customHeight="1" x14ac:dyDescent="0.2">
      <c r="A5" s="461" t="str">
        <f xml:space="preserve"> "za razdoblje " &amp; IF(Opci!E5&lt;&gt;"", TEXT(Opci!E5, "DD.MM.YYYY."), "__.__.____.") &amp; " do " &amp; IF(Opci!H5&lt;&gt;"", TEXT(Opci!H5, "DD.MM.YYYY."),"__.__.____.")</f>
        <v>za razdoblje 01.01.2009. do 31.03.2009.</v>
      </c>
      <c r="B5" s="462"/>
      <c r="C5" s="462"/>
      <c r="D5" s="462"/>
      <c r="E5" s="462"/>
      <c r="F5" s="462"/>
      <c r="G5" s="462"/>
      <c r="H5" s="462"/>
      <c r="I5" s="463"/>
      <c r="J5" s="464"/>
      <c r="K5" s="465"/>
    </row>
    <row r="6" spans="1:15" s="3" customFormat="1" ht="20.100000000000001" customHeight="1" x14ac:dyDescent="0.2">
      <c r="A6" s="470" t="str">
        <f>"Obveznik: "&amp;IF(Opci!C19&lt;&gt;"",Opci!C19,"________") &amp; "; " &amp; IF(Opci!C25&lt;&gt;"",Opci!C25,"_____________________________________________________________"&amp;"; "&amp;IF(Opci!F27&lt;&gt;"",Opci!F27,"_______________"))</f>
        <v>Obveznik: 03454088; PODRAVKA GRUPA</v>
      </c>
      <c r="B6" s="471"/>
      <c r="C6" s="471"/>
      <c r="D6" s="471"/>
      <c r="E6" s="471"/>
      <c r="F6" s="471"/>
      <c r="G6" s="471"/>
      <c r="H6" s="471"/>
      <c r="I6" s="471"/>
      <c r="J6" s="471"/>
      <c r="K6" s="472"/>
    </row>
    <row r="7" spans="1:15" s="3" customFormat="1" ht="15" customHeight="1" thickBot="1" x14ac:dyDescent="0.25">
      <c r="A7" s="454" t="s">
        <v>378</v>
      </c>
      <c r="B7" s="450" t="s">
        <v>376</v>
      </c>
      <c r="C7" s="450"/>
      <c r="D7" s="446" t="s">
        <v>375</v>
      </c>
      <c r="E7" s="447"/>
      <c r="F7" s="447"/>
      <c r="G7" s="447"/>
      <c r="H7" s="447"/>
      <c r="I7" s="460" t="s">
        <v>153</v>
      </c>
      <c r="J7" s="447"/>
      <c r="K7" s="130" t="s">
        <v>2513</v>
      </c>
    </row>
    <row r="8" spans="1:15" s="3" customFormat="1" ht="14.1" customHeight="1" x14ac:dyDescent="0.2">
      <c r="A8" s="455"/>
      <c r="B8" s="451">
        <v>1</v>
      </c>
      <c r="C8" s="452"/>
      <c r="D8" s="451">
        <v>2</v>
      </c>
      <c r="E8" s="453"/>
      <c r="F8" s="453"/>
      <c r="G8" s="453"/>
      <c r="H8" s="452"/>
      <c r="I8" s="451">
        <v>3</v>
      </c>
      <c r="J8" s="452"/>
      <c r="K8" s="131">
        <v>4</v>
      </c>
    </row>
    <row r="9" spans="1:15" ht="14.1" customHeight="1" x14ac:dyDescent="0.2">
      <c r="A9" s="23" t="s">
        <v>379</v>
      </c>
      <c r="B9" s="448"/>
      <c r="C9" s="449"/>
      <c r="D9" s="445" t="s">
        <v>2312</v>
      </c>
      <c r="E9" s="445"/>
      <c r="F9" s="445"/>
      <c r="G9" s="445"/>
      <c r="H9" s="445"/>
      <c r="I9" s="445" t="s">
        <v>2332</v>
      </c>
      <c r="J9" s="445"/>
      <c r="K9" s="231">
        <v>1</v>
      </c>
    </row>
    <row r="10" spans="1:15" ht="14.1" customHeight="1" x14ac:dyDescent="0.2">
      <c r="A10" s="21" t="s">
        <v>380</v>
      </c>
      <c r="B10" s="441"/>
      <c r="C10" s="442"/>
      <c r="D10" s="444" t="s">
        <v>2313</v>
      </c>
      <c r="E10" s="444"/>
      <c r="F10" s="444"/>
      <c r="G10" s="444"/>
      <c r="H10" s="444"/>
      <c r="I10" s="445" t="s">
        <v>2332</v>
      </c>
      <c r="J10" s="445"/>
      <c r="K10" s="232">
        <v>1</v>
      </c>
    </row>
    <row r="11" spans="1:15" ht="14.1" customHeight="1" x14ac:dyDescent="0.2">
      <c r="A11" s="21" t="s">
        <v>381</v>
      </c>
      <c r="B11" s="441"/>
      <c r="C11" s="442"/>
      <c r="D11" s="444" t="s">
        <v>2314</v>
      </c>
      <c r="E11" s="444"/>
      <c r="F11" s="444"/>
      <c r="G11" s="444"/>
      <c r="H11" s="444"/>
      <c r="I11" s="445" t="s">
        <v>2333</v>
      </c>
      <c r="J11" s="445"/>
      <c r="K11" s="232">
        <v>1</v>
      </c>
    </row>
    <row r="12" spans="1:15" ht="14.1" customHeight="1" x14ac:dyDescent="0.2">
      <c r="A12" s="21" t="s">
        <v>382</v>
      </c>
      <c r="B12" s="441"/>
      <c r="C12" s="442"/>
      <c r="D12" s="444" t="s">
        <v>2315</v>
      </c>
      <c r="E12" s="444"/>
      <c r="F12" s="444"/>
      <c r="G12" s="444"/>
      <c r="H12" s="444"/>
      <c r="I12" s="445" t="s">
        <v>2332</v>
      </c>
      <c r="J12" s="445"/>
      <c r="K12" s="232">
        <v>1</v>
      </c>
    </row>
    <row r="13" spans="1:15" ht="14.1" customHeight="1" x14ac:dyDescent="0.2">
      <c r="A13" s="21" t="s">
        <v>383</v>
      </c>
      <c r="B13" s="441"/>
      <c r="C13" s="442"/>
      <c r="D13" s="444" t="s">
        <v>2316</v>
      </c>
      <c r="E13" s="444"/>
      <c r="F13" s="444"/>
      <c r="G13" s="444"/>
      <c r="H13" s="444"/>
      <c r="I13" s="445" t="s">
        <v>2332</v>
      </c>
      <c r="J13" s="445"/>
      <c r="K13" s="232">
        <v>1</v>
      </c>
    </row>
    <row r="14" spans="1:15" ht="14.1" customHeight="1" x14ac:dyDescent="0.2">
      <c r="A14" s="21" t="s">
        <v>384</v>
      </c>
      <c r="B14" s="441"/>
      <c r="C14" s="442"/>
      <c r="D14" s="444" t="s">
        <v>2317</v>
      </c>
      <c r="E14" s="444"/>
      <c r="F14" s="444"/>
      <c r="G14" s="444"/>
      <c r="H14" s="444"/>
      <c r="I14" s="445" t="s">
        <v>2332</v>
      </c>
      <c r="J14" s="445"/>
      <c r="K14" s="232">
        <v>1</v>
      </c>
    </row>
    <row r="15" spans="1:15" ht="14.1" customHeight="1" x14ac:dyDescent="0.2">
      <c r="A15" s="21" t="s">
        <v>385</v>
      </c>
      <c r="B15" s="441"/>
      <c r="C15" s="442"/>
      <c r="D15" s="444" t="s">
        <v>2318</v>
      </c>
      <c r="E15" s="444"/>
      <c r="F15" s="444"/>
      <c r="G15" s="444"/>
      <c r="H15" s="444"/>
      <c r="I15" s="445" t="s">
        <v>2334</v>
      </c>
      <c r="J15" s="445"/>
      <c r="K15" s="232">
        <v>1</v>
      </c>
    </row>
    <row r="16" spans="1:15" ht="14.1" customHeight="1" x14ac:dyDescent="0.2">
      <c r="A16" s="21" t="s">
        <v>386</v>
      </c>
      <c r="B16" s="441"/>
      <c r="C16" s="442"/>
      <c r="D16" s="444" t="s">
        <v>2319</v>
      </c>
      <c r="E16" s="444"/>
      <c r="F16" s="444"/>
      <c r="G16" s="444"/>
      <c r="H16" s="444"/>
      <c r="I16" s="445" t="s">
        <v>2332</v>
      </c>
      <c r="J16" s="445"/>
      <c r="K16" s="232">
        <v>1</v>
      </c>
    </row>
    <row r="17" spans="1:11" ht="14.1" customHeight="1" x14ac:dyDescent="0.2">
      <c r="A17" s="21" t="s">
        <v>387</v>
      </c>
      <c r="B17" s="441"/>
      <c r="C17" s="442"/>
      <c r="D17" s="444" t="s">
        <v>2320</v>
      </c>
      <c r="E17" s="444"/>
      <c r="F17" s="444"/>
      <c r="G17" s="444"/>
      <c r="H17" s="444"/>
      <c r="I17" s="445" t="s">
        <v>2335</v>
      </c>
      <c r="J17" s="445"/>
      <c r="K17" s="232">
        <v>1</v>
      </c>
    </row>
    <row r="18" spans="1:11" ht="14.1" customHeight="1" x14ac:dyDescent="0.2">
      <c r="A18" s="21" t="s">
        <v>388</v>
      </c>
      <c r="B18" s="441"/>
      <c r="C18" s="442"/>
      <c r="D18" s="444" t="s">
        <v>2321</v>
      </c>
      <c r="E18" s="444"/>
      <c r="F18" s="444"/>
      <c r="G18" s="444"/>
      <c r="H18" s="444"/>
      <c r="I18" s="445" t="s">
        <v>2336</v>
      </c>
      <c r="J18" s="445"/>
      <c r="K18" s="232">
        <v>1</v>
      </c>
    </row>
    <row r="19" spans="1:11" ht="14.1" customHeight="1" x14ac:dyDescent="0.2">
      <c r="A19" s="21" t="s">
        <v>389</v>
      </c>
      <c r="B19" s="441"/>
      <c r="C19" s="442"/>
      <c r="D19" s="444" t="s">
        <v>2321</v>
      </c>
      <c r="E19" s="444"/>
      <c r="F19" s="444"/>
      <c r="G19" s="444"/>
      <c r="H19" s="444"/>
      <c r="I19" s="445" t="s">
        <v>951</v>
      </c>
      <c r="J19" s="445"/>
      <c r="K19" s="232">
        <v>1</v>
      </c>
    </row>
    <row r="20" spans="1:11" ht="14.1" customHeight="1" x14ac:dyDescent="0.2">
      <c r="A20" s="21" t="s">
        <v>390</v>
      </c>
      <c r="B20" s="441"/>
      <c r="C20" s="442"/>
      <c r="D20" s="444" t="s">
        <v>2322</v>
      </c>
      <c r="E20" s="444"/>
      <c r="F20" s="444"/>
      <c r="G20" s="444"/>
      <c r="H20" s="444"/>
      <c r="I20" s="445" t="s">
        <v>952</v>
      </c>
      <c r="J20" s="445"/>
      <c r="K20" s="232">
        <v>1</v>
      </c>
    </row>
    <row r="21" spans="1:11" ht="14.1" customHeight="1" x14ac:dyDescent="0.2">
      <c r="A21" s="21" t="s">
        <v>391</v>
      </c>
      <c r="B21" s="441"/>
      <c r="C21" s="442"/>
      <c r="D21" s="444" t="s">
        <v>2321</v>
      </c>
      <c r="E21" s="444"/>
      <c r="F21" s="444"/>
      <c r="G21" s="444"/>
      <c r="H21" s="444"/>
      <c r="I21" s="445" t="s">
        <v>953</v>
      </c>
      <c r="J21" s="445"/>
      <c r="K21" s="232">
        <v>1</v>
      </c>
    </row>
    <row r="22" spans="1:11" ht="14.1" customHeight="1" x14ac:dyDescent="0.2">
      <c r="A22" s="21" t="s">
        <v>392</v>
      </c>
      <c r="B22" s="441"/>
      <c r="C22" s="442"/>
      <c r="D22" s="444" t="s">
        <v>2323</v>
      </c>
      <c r="E22" s="444"/>
      <c r="F22" s="444"/>
      <c r="G22" s="444"/>
      <c r="H22" s="444"/>
      <c r="I22" s="445" t="s">
        <v>954</v>
      </c>
      <c r="J22" s="445"/>
      <c r="K22" s="232">
        <v>1</v>
      </c>
    </row>
    <row r="23" spans="1:11" ht="14.1" customHeight="1" x14ac:dyDescent="0.2">
      <c r="A23" s="21" t="s">
        <v>154</v>
      </c>
      <c r="B23" s="441"/>
      <c r="C23" s="442"/>
      <c r="D23" s="444" t="s">
        <v>2324</v>
      </c>
      <c r="E23" s="444"/>
      <c r="F23" s="444"/>
      <c r="G23" s="444"/>
      <c r="H23" s="444"/>
      <c r="I23" s="445" t="s">
        <v>955</v>
      </c>
      <c r="J23" s="445"/>
      <c r="K23" s="232">
        <v>1</v>
      </c>
    </row>
    <row r="24" spans="1:11" ht="14.1" customHeight="1" x14ac:dyDescent="0.2">
      <c r="A24" s="21" t="s">
        <v>155</v>
      </c>
      <c r="B24" s="441"/>
      <c r="C24" s="442"/>
      <c r="D24" s="444" t="s">
        <v>2325</v>
      </c>
      <c r="E24" s="444"/>
      <c r="F24" s="444"/>
      <c r="G24" s="444"/>
      <c r="H24" s="444"/>
      <c r="I24" s="445" t="s">
        <v>956</v>
      </c>
      <c r="J24" s="445"/>
      <c r="K24" s="232">
        <v>1</v>
      </c>
    </row>
    <row r="25" spans="1:11" ht="14.1" customHeight="1" x14ac:dyDescent="0.2">
      <c r="A25" s="21" t="s">
        <v>156</v>
      </c>
      <c r="B25" s="441"/>
      <c r="C25" s="442"/>
      <c r="D25" s="444" t="s">
        <v>2326</v>
      </c>
      <c r="E25" s="444"/>
      <c r="F25" s="444"/>
      <c r="G25" s="444"/>
      <c r="H25" s="444"/>
      <c r="I25" s="445" t="s">
        <v>957</v>
      </c>
      <c r="J25" s="445"/>
      <c r="K25" s="232">
        <v>1</v>
      </c>
    </row>
    <row r="26" spans="1:11" ht="14.1" customHeight="1" x14ac:dyDescent="0.2">
      <c r="A26" s="21" t="s">
        <v>157</v>
      </c>
      <c r="B26" s="441"/>
      <c r="C26" s="442"/>
      <c r="D26" s="444" t="s">
        <v>2327</v>
      </c>
      <c r="E26" s="444"/>
      <c r="F26" s="444"/>
      <c r="G26" s="444"/>
      <c r="H26" s="444"/>
      <c r="I26" s="445" t="s">
        <v>958</v>
      </c>
      <c r="J26" s="445"/>
      <c r="K26" s="232">
        <v>0.75</v>
      </c>
    </row>
    <row r="27" spans="1:11" ht="14.1" customHeight="1" x14ac:dyDescent="0.2">
      <c r="A27" s="21" t="s">
        <v>158</v>
      </c>
      <c r="B27" s="441"/>
      <c r="C27" s="442"/>
      <c r="D27" s="444" t="s">
        <v>2328</v>
      </c>
      <c r="E27" s="444"/>
      <c r="F27" s="444"/>
      <c r="G27" s="444"/>
      <c r="H27" s="444"/>
      <c r="I27" s="445" t="s">
        <v>959</v>
      </c>
      <c r="J27" s="445"/>
      <c r="K27" s="232">
        <v>1</v>
      </c>
    </row>
    <row r="28" spans="1:11" ht="14.1" customHeight="1" x14ac:dyDescent="0.2">
      <c r="A28" s="21" t="s">
        <v>159</v>
      </c>
      <c r="B28" s="441"/>
      <c r="C28" s="442"/>
      <c r="D28" s="444" t="s">
        <v>2329</v>
      </c>
      <c r="E28" s="444"/>
      <c r="F28" s="444"/>
      <c r="G28" s="444"/>
      <c r="H28" s="444"/>
      <c r="I28" s="444" t="s">
        <v>960</v>
      </c>
      <c r="J28" s="444"/>
      <c r="K28" s="232">
        <v>1</v>
      </c>
    </row>
    <row r="29" spans="1:11" ht="14.1" customHeight="1" x14ac:dyDescent="0.2">
      <c r="A29" s="21" t="s">
        <v>160</v>
      </c>
      <c r="B29" s="441"/>
      <c r="C29" s="442"/>
      <c r="D29" s="444" t="s">
        <v>2321</v>
      </c>
      <c r="E29" s="444"/>
      <c r="F29" s="444"/>
      <c r="G29" s="444"/>
      <c r="H29" s="444"/>
      <c r="I29" s="444" t="s">
        <v>961</v>
      </c>
      <c r="J29" s="444"/>
      <c r="K29" s="232">
        <v>1</v>
      </c>
    </row>
    <row r="30" spans="1:11" ht="14.1" customHeight="1" x14ac:dyDescent="0.2">
      <c r="A30" s="21" t="s">
        <v>161</v>
      </c>
      <c r="B30" s="441"/>
      <c r="C30" s="442"/>
      <c r="D30" s="444" t="s">
        <v>2330</v>
      </c>
      <c r="E30" s="444"/>
      <c r="F30" s="444"/>
      <c r="G30" s="444"/>
      <c r="H30" s="444"/>
      <c r="I30" s="444" t="s">
        <v>962</v>
      </c>
      <c r="J30" s="444"/>
      <c r="K30" s="232">
        <v>1</v>
      </c>
    </row>
    <row r="31" spans="1:11" ht="14.1" customHeight="1" x14ac:dyDescent="0.2">
      <c r="A31" s="21" t="s">
        <v>162</v>
      </c>
      <c r="B31" s="441"/>
      <c r="C31" s="442"/>
      <c r="D31" s="444" t="s">
        <v>2331</v>
      </c>
      <c r="E31" s="444"/>
      <c r="F31" s="444"/>
      <c r="G31" s="444"/>
      <c r="H31" s="444"/>
      <c r="I31" s="444" t="s">
        <v>963</v>
      </c>
      <c r="J31" s="444"/>
      <c r="K31" s="232">
        <v>1</v>
      </c>
    </row>
    <row r="32" spans="1:11" ht="14.1" customHeight="1" x14ac:dyDescent="0.2">
      <c r="A32" s="21" t="s">
        <v>163</v>
      </c>
      <c r="B32" s="441"/>
      <c r="C32" s="442"/>
      <c r="D32" s="443"/>
      <c r="E32" s="443"/>
      <c r="F32" s="443"/>
      <c r="G32" s="443"/>
      <c r="H32" s="443"/>
      <c r="I32" s="443"/>
      <c r="J32" s="443"/>
      <c r="K32" s="22"/>
    </row>
    <row r="33" spans="1:11" ht="14.1" customHeight="1" x14ac:dyDescent="0.2">
      <c r="A33" s="21" t="s">
        <v>164</v>
      </c>
      <c r="B33" s="441"/>
      <c r="C33" s="442"/>
      <c r="D33" s="443"/>
      <c r="E33" s="443"/>
      <c r="F33" s="443"/>
      <c r="G33" s="443"/>
      <c r="H33" s="443"/>
      <c r="I33" s="443"/>
      <c r="J33" s="443"/>
      <c r="K33" s="22"/>
    </row>
    <row r="34" spans="1:11" ht="14.1" customHeight="1" x14ac:dyDescent="0.2">
      <c r="A34" s="21" t="s">
        <v>165</v>
      </c>
      <c r="B34" s="441"/>
      <c r="C34" s="442"/>
      <c r="D34" s="443"/>
      <c r="E34" s="443"/>
      <c r="F34" s="443"/>
      <c r="G34" s="443"/>
      <c r="H34" s="443"/>
      <c r="I34" s="443"/>
      <c r="J34" s="443"/>
      <c r="K34" s="22"/>
    </row>
    <row r="35" spans="1:11" ht="14.1" customHeight="1" x14ac:dyDescent="0.2">
      <c r="A35" s="21" t="s">
        <v>166</v>
      </c>
      <c r="B35" s="441"/>
      <c r="C35" s="442"/>
      <c r="D35" s="443"/>
      <c r="E35" s="443"/>
      <c r="F35" s="443"/>
      <c r="G35" s="443"/>
      <c r="H35" s="443"/>
      <c r="I35" s="443"/>
      <c r="J35" s="443"/>
      <c r="K35" s="22"/>
    </row>
    <row r="36" spans="1:11" ht="14.1" customHeight="1" x14ac:dyDescent="0.2">
      <c r="A36" s="21" t="s">
        <v>167</v>
      </c>
      <c r="B36" s="441"/>
      <c r="C36" s="442"/>
      <c r="D36" s="443"/>
      <c r="E36" s="443"/>
      <c r="F36" s="443"/>
      <c r="G36" s="443"/>
      <c r="H36" s="443"/>
      <c r="I36" s="443"/>
      <c r="J36" s="443"/>
      <c r="K36" s="22"/>
    </row>
    <row r="37" spans="1:11" ht="14.1" customHeight="1" x14ac:dyDescent="0.2">
      <c r="A37" s="21" t="s">
        <v>168</v>
      </c>
      <c r="B37" s="441"/>
      <c r="C37" s="442"/>
      <c r="D37" s="443"/>
      <c r="E37" s="443"/>
      <c r="F37" s="443"/>
      <c r="G37" s="443"/>
      <c r="H37" s="443"/>
      <c r="I37" s="443"/>
      <c r="J37" s="443"/>
      <c r="K37" s="22"/>
    </row>
    <row r="38" spans="1:11" ht="14.1" customHeight="1" x14ac:dyDescent="0.2">
      <c r="A38" s="21" t="s">
        <v>1723</v>
      </c>
      <c r="B38" s="441"/>
      <c r="C38" s="442"/>
      <c r="D38" s="443"/>
      <c r="E38" s="443"/>
      <c r="F38" s="443"/>
      <c r="G38" s="443"/>
      <c r="H38" s="443"/>
      <c r="I38" s="443"/>
      <c r="J38" s="443"/>
      <c r="K38" s="22"/>
    </row>
    <row r="39" spans="1:11" ht="14.1" customHeight="1" x14ac:dyDescent="0.2">
      <c r="A39" s="21" t="s">
        <v>453</v>
      </c>
      <c r="B39" s="441"/>
      <c r="C39" s="442"/>
      <c r="D39" s="443"/>
      <c r="E39" s="443"/>
      <c r="F39" s="443"/>
      <c r="G39" s="443"/>
      <c r="H39" s="443"/>
      <c r="I39" s="443"/>
      <c r="J39" s="443"/>
      <c r="K39" s="22"/>
    </row>
    <row r="40" spans="1:11" ht="14.1" customHeight="1" x14ac:dyDescent="0.2">
      <c r="A40" s="21" t="s">
        <v>454</v>
      </c>
      <c r="B40" s="441"/>
      <c r="C40" s="442"/>
      <c r="D40" s="443"/>
      <c r="E40" s="443"/>
      <c r="F40" s="443"/>
      <c r="G40" s="443"/>
      <c r="H40" s="443"/>
      <c r="I40" s="443"/>
      <c r="J40" s="443"/>
      <c r="K40" s="22"/>
    </row>
    <row r="41" spans="1:11" ht="14.1" customHeight="1" x14ac:dyDescent="0.2">
      <c r="A41" s="21" t="s">
        <v>455</v>
      </c>
      <c r="B41" s="441"/>
      <c r="C41" s="442"/>
      <c r="D41" s="443"/>
      <c r="E41" s="443"/>
      <c r="F41" s="443"/>
      <c r="G41" s="443"/>
      <c r="H41" s="443"/>
      <c r="I41" s="443"/>
      <c r="J41" s="443"/>
      <c r="K41" s="22"/>
    </row>
    <row r="42" spans="1:11" ht="14.1" customHeight="1" x14ac:dyDescent="0.2">
      <c r="A42" s="21" t="s">
        <v>456</v>
      </c>
      <c r="B42" s="441"/>
      <c r="C42" s="442"/>
      <c r="D42" s="443"/>
      <c r="E42" s="443"/>
      <c r="F42" s="443"/>
      <c r="G42" s="443"/>
      <c r="H42" s="443"/>
      <c r="I42" s="443"/>
      <c r="J42" s="443"/>
      <c r="K42" s="22"/>
    </row>
    <row r="43" spans="1:11" ht="14.1" customHeight="1" x14ac:dyDescent="0.2">
      <c r="A43" s="21" t="s">
        <v>457</v>
      </c>
      <c r="B43" s="441"/>
      <c r="C43" s="442"/>
      <c r="D43" s="443"/>
      <c r="E43" s="443"/>
      <c r="F43" s="443"/>
      <c r="G43" s="443"/>
      <c r="H43" s="443"/>
      <c r="I43" s="443"/>
      <c r="J43" s="443"/>
      <c r="K43" s="22"/>
    </row>
    <row r="44" spans="1:11" ht="14.1" customHeight="1" x14ac:dyDescent="0.2">
      <c r="A44" s="21" t="s">
        <v>458</v>
      </c>
      <c r="B44" s="441"/>
      <c r="C44" s="442"/>
      <c r="D44" s="443"/>
      <c r="E44" s="443"/>
      <c r="F44" s="443"/>
      <c r="G44" s="443"/>
      <c r="H44" s="443"/>
      <c r="I44" s="443"/>
      <c r="J44" s="443"/>
      <c r="K44" s="22"/>
    </row>
    <row r="45" spans="1:11" ht="14.1" customHeight="1" x14ac:dyDescent="0.2">
      <c r="A45" s="21" t="s">
        <v>459</v>
      </c>
      <c r="B45" s="441"/>
      <c r="C45" s="442"/>
      <c r="D45" s="443"/>
      <c r="E45" s="443"/>
      <c r="F45" s="443"/>
      <c r="G45" s="443"/>
      <c r="H45" s="443"/>
      <c r="I45" s="443"/>
      <c r="J45" s="443"/>
      <c r="K45" s="22"/>
    </row>
    <row r="46" spans="1:11" ht="14.1" customHeight="1" x14ac:dyDescent="0.2">
      <c r="A46" s="21" t="s">
        <v>460</v>
      </c>
      <c r="B46" s="441"/>
      <c r="C46" s="442"/>
      <c r="D46" s="443"/>
      <c r="E46" s="443"/>
      <c r="F46" s="443"/>
      <c r="G46" s="443"/>
      <c r="H46" s="443"/>
      <c r="I46" s="443"/>
      <c r="J46" s="443"/>
      <c r="K46" s="22"/>
    </row>
    <row r="47" spans="1:11" ht="14.1" customHeight="1" x14ac:dyDescent="0.2">
      <c r="A47" s="21" t="s">
        <v>461</v>
      </c>
      <c r="B47" s="441"/>
      <c r="C47" s="442"/>
      <c r="D47" s="443"/>
      <c r="E47" s="443"/>
      <c r="F47" s="443"/>
      <c r="G47" s="443"/>
      <c r="H47" s="443"/>
      <c r="I47" s="443"/>
      <c r="J47" s="443"/>
      <c r="K47" s="22"/>
    </row>
    <row r="48" spans="1:11" ht="14.1" customHeight="1" x14ac:dyDescent="0.2">
      <c r="A48" s="21" t="s">
        <v>462</v>
      </c>
      <c r="B48" s="441"/>
      <c r="C48" s="442"/>
      <c r="D48" s="443"/>
      <c r="E48" s="443"/>
      <c r="F48" s="443"/>
      <c r="G48" s="443"/>
      <c r="H48" s="443"/>
      <c r="I48" s="443"/>
      <c r="J48" s="443"/>
      <c r="K48" s="22"/>
    </row>
    <row r="49" spans="1:11" ht="14.1" customHeight="1" x14ac:dyDescent="0.2">
      <c r="A49" s="21" t="s">
        <v>463</v>
      </c>
      <c r="B49" s="441"/>
      <c r="C49" s="442"/>
      <c r="D49" s="443"/>
      <c r="E49" s="443"/>
      <c r="F49" s="443"/>
      <c r="G49" s="443"/>
      <c r="H49" s="443"/>
      <c r="I49" s="443"/>
      <c r="J49" s="443"/>
      <c r="K49" s="22"/>
    </row>
    <row r="50" spans="1:11" ht="14.1" customHeight="1" x14ac:dyDescent="0.2">
      <c r="A50" s="21" t="s">
        <v>464</v>
      </c>
      <c r="B50" s="441"/>
      <c r="C50" s="442"/>
      <c r="D50" s="443"/>
      <c r="E50" s="443"/>
      <c r="F50" s="443"/>
      <c r="G50" s="443"/>
      <c r="H50" s="443"/>
      <c r="I50" s="443"/>
      <c r="J50" s="443"/>
      <c r="K50" s="22"/>
    </row>
    <row r="51" spans="1:11" ht="14.1" customHeight="1" x14ac:dyDescent="0.2">
      <c r="A51" s="21" t="s">
        <v>465</v>
      </c>
      <c r="B51" s="441"/>
      <c r="C51" s="442"/>
      <c r="D51" s="443"/>
      <c r="E51" s="443"/>
      <c r="F51" s="443"/>
      <c r="G51" s="443"/>
      <c r="H51" s="443"/>
      <c r="I51" s="443"/>
      <c r="J51" s="443"/>
      <c r="K51" s="22"/>
    </row>
    <row r="52" spans="1:11" ht="14.1" customHeight="1" x14ac:dyDescent="0.2">
      <c r="A52" s="21" t="s">
        <v>466</v>
      </c>
      <c r="B52" s="441"/>
      <c r="C52" s="442"/>
      <c r="D52" s="443"/>
      <c r="E52" s="443"/>
      <c r="F52" s="443"/>
      <c r="G52" s="443"/>
      <c r="H52" s="443"/>
      <c r="I52" s="443"/>
      <c r="J52" s="443"/>
      <c r="K52" s="22"/>
    </row>
    <row r="53" spans="1:11" ht="14.1" customHeight="1" x14ac:dyDescent="0.2">
      <c r="A53" s="21" t="s">
        <v>467</v>
      </c>
      <c r="B53" s="441"/>
      <c r="C53" s="442"/>
      <c r="D53" s="443"/>
      <c r="E53" s="443"/>
      <c r="F53" s="443"/>
      <c r="G53" s="443"/>
      <c r="H53" s="443"/>
      <c r="I53" s="443"/>
      <c r="J53" s="443"/>
      <c r="K53" s="22"/>
    </row>
    <row r="54" spans="1:11" ht="14.1" customHeight="1" x14ac:dyDescent="0.2">
      <c r="A54" s="21" t="s">
        <v>468</v>
      </c>
      <c r="B54" s="441"/>
      <c r="C54" s="442"/>
      <c r="D54" s="443"/>
      <c r="E54" s="443"/>
      <c r="F54" s="443"/>
      <c r="G54" s="443"/>
      <c r="H54" s="443"/>
      <c r="I54" s="443"/>
      <c r="J54" s="443"/>
      <c r="K54" s="22"/>
    </row>
    <row r="55" spans="1:11" ht="14.1" customHeight="1" x14ac:dyDescent="0.2">
      <c r="A55" s="21" t="s">
        <v>469</v>
      </c>
      <c r="B55" s="441"/>
      <c r="C55" s="442"/>
      <c r="D55" s="443"/>
      <c r="E55" s="443"/>
      <c r="F55" s="443"/>
      <c r="G55" s="443"/>
      <c r="H55" s="443"/>
      <c r="I55" s="443"/>
      <c r="J55" s="443"/>
      <c r="K55" s="22"/>
    </row>
    <row r="56" spans="1:11" ht="14.1" customHeight="1" x14ac:dyDescent="0.2">
      <c r="A56" s="21" t="s">
        <v>470</v>
      </c>
      <c r="B56" s="441"/>
      <c r="C56" s="442"/>
      <c r="D56" s="443"/>
      <c r="E56" s="443"/>
      <c r="F56" s="443"/>
      <c r="G56" s="443"/>
      <c r="H56" s="443"/>
      <c r="I56" s="443"/>
      <c r="J56" s="443"/>
      <c r="K56" s="22"/>
    </row>
    <row r="57" spans="1:11" ht="14.1" customHeight="1" x14ac:dyDescent="0.2">
      <c r="A57" s="21" t="s">
        <v>471</v>
      </c>
      <c r="B57" s="441"/>
      <c r="C57" s="442"/>
      <c r="D57" s="443"/>
      <c r="E57" s="443"/>
      <c r="F57" s="443"/>
      <c r="G57" s="443"/>
      <c r="H57" s="443"/>
      <c r="I57" s="443"/>
      <c r="J57" s="443"/>
      <c r="K57" s="22"/>
    </row>
    <row r="58" spans="1:11" ht="14.1" customHeight="1" x14ac:dyDescent="0.2">
      <c r="A58" s="21" t="s">
        <v>472</v>
      </c>
      <c r="B58" s="441"/>
      <c r="C58" s="442"/>
      <c r="D58" s="443"/>
      <c r="E58" s="443"/>
      <c r="F58" s="443"/>
      <c r="G58" s="443"/>
      <c r="H58" s="443"/>
      <c r="I58" s="443"/>
      <c r="J58" s="443"/>
      <c r="K58" s="22"/>
    </row>
    <row r="59" spans="1:11" ht="14.1" customHeight="1" x14ac:dyDescent="0.2">
      <c r="A59" s="21" t="s">
        <v>473</v>
      </c>
      <c r="B59" s="441"/>
      <c r="C59" s="442"/>
      <c r="D59" s="443"/>
      <c r="E59" s="443"/>
      <c r="F59" s="443"/>
      <c r="G59" s="443"/>
      <c r="H59" s="443"/>
      <c r="I59" s="443"/>
      <c r="J59" s="443"/>
      <c r="K59" s="22"/>
    </row>
    <row r="60" spans="1:11" ht="14.1" customHeight="1" x14ac:dyDescent="0.2">
      <c r="A60" s="21" t="s">
        <v>474</v>
      </c>
      <c r="B60" s="441"/>
      <c r="C60" s="442"/>
      <c r="D60" s="443"/>
      <c r="E60" s="443"/>
      <c r="F60" s="443"/>
      <c r="G60" s="443"/>
      <c r="H60" s="443"/>
      <c r="I60" s="443"/>
      <c r="J60" s="443"/>
      <c r="K60" s="22"/>
    </row>
    <row r="61" spans="1:11" ht="14.1" customHeight="1" x14ac:dyDescent="0.2">
      <c r="A61" s="21" t="s">
        <v>435</v>
      </c>
      <c r="B61" s="441"/>
      <c r="C61" s="442"/>
      <c r="D61" s="443"/>
      <c r="E61" s="443"/>
      <c r="F61" s="443"/>
      <c r="G61" s="443"/>
      <c r="H61" s="443"/>
      <c r="I61" s="443"/>
      <c r="J61" s="443"/>
      <c r="K61" s="22"/>
    </row>
    <row r="62" spans="1:11" ht="14.1" customHeight="1" x14ac:dyDescent="0.2">
      <c r="A62" s="21" t="s">
        <v>436</v>
      </c>
      <c r="B62" s="441"/>
      <c r="C62" s="442"/>
      <c r="D62" s="443"/>
      <c r="E62" s="443"/>
      <c r="F62" s="443"/>
      <c r="G62" s="443"/>
      <c r="H62" s="443"/>
      <c r="I62" s="443"/>
      <c r="J62" s="443"/>
      <c r="K62" s="22"/>
    </row>
    <row r="63" spans="1:11" ht="14.1" customHeight="1" x14ac:dyDescent="0.2">
      <c r="A63" s="21" t="s">
        <v>658</v>
      </c>
      <c r="B63" s="441"/>
      <c r="C63" s="442"/>
      <c r="D63" s="443"/>
      <c r="E63" s="443"/>
      <c r="F63" s="443"/>
      <c r="G63" s="443"/>
      <c r="H63" s="443"/>
      <c r="I63" s="443"/>
      <c r="J63" s="443"/>
      <c r="K63" s="22"/>
    </row>
    <row r="64" spans="1:11" ht="14.1" customHeight="1" x14ac:dyDescent="0.2">
      <c r="A64" s="21" t="s">
        <v>659</v>
      </c>
      <c r="B64" s="441"/>
      <c r="C64" s="442"/>
      <c r="D64" s="443"/>
      <c r="E64" s="443"/>
      <c r="F64" s="443"/>
      <c r="G64" s="443"/>
      <c r="H64" s="443"/>
      <c r="I64" s="443"/>
      <c r="J64" s="443"/>
      <c r="K64" s="22"/>
    </row>
    <row r="65" spans="1:11" ht="14.1" customHeight="1" x14ac:dyDescent="0.2">
      <c r="A65" s="21" t="s">
        <v>660</v>
      </c>
      <c r="B65" s="441"/>
      <c r="C65" s="442"/>
      <c r="D65" s="443"/>
      <c r="E65" s="443"/>
      <c r="F65" s="443"/>
      <c r="G65" s="443"/>
      <c r="H65" s="443"/>
      <c r="I65" s="443"/>
      <c r="J65" s="443"/>
      <c r="K65" s="22"/>
    </row>
    <row r="66" spans="1:11" ht="14.1" customHeight="1" x14ac:dyDescent="0.2">
      <c r="A66" s="21" t="s">
        <v>661</v>
      </c>
      <c r="B66" s="441"/>
      <c r="C66" s="442"/>
      <c r="D66" s="443"/>
      <c r="E66" s="443"/>
      <c r="F66" s="443"/>
      <c r="G66" s="443"/>
      <c r="H66" s="443"/>
      <c r="I66" s="443"/>
      <c r="J66" s="443"/>
      <c r="K66" s="22"/>
    </row>
    <row r="67" spans="1:11" ht="14.1" customHeight="1" x14ac:dyDescent="0.2">
      <c r="A67" s="21" t="s">
        <v>662</v>
      </c>
      <c r="B67" s="441"/>
      <c r="C67" s="442"/>
      <c r="D67" s="443"/>
      <c r="E67" s="443"/>
      <c r="F67" s="443"/>
      <c r="G67" s="443"/>
      <c r="H67" s="443"/>
      <c r="I67" s="443"/>
      <c r="J67" s="443"/>
      <c r="K67" s="22"/>
    </row>
    <row r="68" spans="1:11" ht="14.1" customHeight="1" x14ac:dyDescent="0.2">
      <c r="A68" s="21" t="s">
        <v>663</v>
      </c>
      <c r="B68" s="441"/>
      <c r="C68" s="442"/>
      <c r="D68" s="443"/>
      <c r="E68" s="443"/>
      <c r="F68" s="443"/>
      <c r="G68" s="443"/>
      <c r="H68" s="443"/>
      <c r="I68" s="443"/>
      <c r="J68" s="443"/>
      <c r="K68" s="22"/>
    </row>
    <row r="69" spans="1:11" ht="14.1" customHeight="1" x14ac:dyDescent="0.2">
      <c r="A69" s="21" t="s">
        <v>664</v>
      </c>
      <c r="B69" s="441"/>
      <c r="C69" s="442"/>
      <c r="D69" s="443"/>
      <c r="E69" s="443"/>
      <c r="F69" s="443"/>
      <c r="G69" s="443"/>
      <c r="H69" s="443"/>
      <c r="I69" s="443"/>
      <c r="J69" s="443"/>
      <c r="K69" s="22"/>
    </row>
    <row r="70" spans="1:11" ht="14.1" customHeight="1" x14ac:dyDescent="0.2">
      <c r="A70" s="21" t="s">
        <v>665</v>
      </c>
      <c r="B70" s="441"/>
      <c r="C70" s="442"/>
      <c r="D70" s="443"/>
      <c r="E70" s="443"/>
      <c r="F70" s="443"/>
      <c r="G70" s="443"/>
      <c r="H70" s="443"/>
      <c r="I70" s="443"/>
      <c r="J70" s="443"/>
      <c r="K70" s="22"/>
    </row>
    <row r="71" spans="1:11" ht="14.1" customHeight="1" x14ac:dyDescent="0.2">
      <c r="A71" s="21" t="s">
        <v>666</v>
      </c>
      <c r="B71" s="441"/>
      <c r="C71" s="442"/>
      <c r="D71" s="443"/>
      <c r="E71" s="443"/>
      <c r="F71" s="443"/>
      <c r="G71" s="443"/>
      <c r="H71" s="443"/>
      <c r="I71" s="443"/>
      <c r="J71" s="443"/>
      <c r="K71" s="22"/>
    </row>
    <row r="72" spans="1:11" ht="14.1" customHeight="1" x14ac:dyDescent="0.2">
      <c r="A72" s="21" t="s">
        <v>667</v>
      </c>
      <c r="B72" s="441"/>
      <c r="C72" s="442"/>
      <c r="D72" s="443"/>
      <c r="E72" s="443"/>
      <c r="F72" s="443"/>
      <c r="G72" s="443"/>
      <c r="H72" s="443"/>
      <c r="I72" s="443"/>
      <c r="J72" s="443"/>
      <c r="K72" s="22"/>
    </row>
    <row r="73" spans="1:11" ht="14.1" customHeight="1" x14ac:dyDescent="0.2">
      <c r="A73" s="21" t="s">
        <v>668</v>
      </c>
      <c r="B73" s="441"/>
      <c r="C73" s="442"/>
      <c r="D73" s="443"/>
      <c r="E73" s="443"/>
      <c r="F73" s="443"/>
      <c r="G73" s="443"/>
      <c r="H73" s="443"/>
      <c r="I73" s="443"/>
      <c r="J73" s="443"/>
      <c r="K73" s="22"/>
    </row>
    <row r="74" spans="1:11" ht="14.1" customHeight="1" x14ac:dyDescent="0.2">
      <c r="A74" s="21" t="s">
        <v>669</v>
      </c>
      <c r="B74" s="441"/>
      <c r="C74" s="442"/>
      <c r="D74" s="443"/>
      <c r="E74" s="443"/>
      <c r="F74" s="443"/>
      <c r="G74" s="443"/>
      <c r="H74" s="443"/>
      <c r="I74" s="443"/>
      <c r="J74" s="443"/>
      <c r="K74" s="22"/>
    </row>
    <row r="75" spans="1:11" ht="14.1" customHeight="1" x14ac:dyDescent="0.2">
      <c r="A75" s="21" t="s">
        <v>670</v>
      </c>
      <c r="B75" s="441"/>
      <c r="C75" s="442"/>
      <c r="D75" s="443"/>
      <c r="E75" s="443"/>
      <c r="F75" s="443"/>
      <c r="G75" s="443"/>
      <c r="H75" s="443"/>
      <c r="I75" s="443"/>
      <c r="J75" s="443"/>
      <c r="K75" s="22"/>
    </row>
    <row r="76" spans="1:11" ht="14.1" customHeight="1" x14ac:dyDescent="0.2">
      <c r="A76" s="21" t="s">
        <v>671</v>
      </c>
      <c r="B76" s="441"/>
      <c r="C76" s="442"/>
      <c r="D76" s="443"/>
      <c r="E76" s="443"/>
      <c r="F76" s="443"/>
      <c r="G76" s="443"/>
      <c r="H76" s="443"/>
      <c r="I76" s="443"/>
      <c r="J76" s="443"/>
      <c r="K76" s="22"/>
    </row>
    <row r="77" spans="1:11" ht="14.1" customHeight="1" x14ac:dyDescent="0.2">
      <c r="A77" s="21" t="s">
        <v>672</v>
      </c>
      <c r="B77" s="441"/>
      <c r="C77" s="442"/>
      <c r="D77" s="443"/>
      <c r="E77" s="443"/>
      <c r="F77" s="443"/>
      <c r="G77" s="443"/>
      <c r="H77" s="443"/>
      <c r="I77" s="443"/>
      <c r="J77" s="443"/>
      <c r="K77" s="22"/>
    </row>
    <row r="78" spans="1:11" ht="14.1" customHeight="1" x14ac:dyDescent="0.2">
      <c r="A78" s="21" t="s">
        <v>673</v>
      </c>
      <c r="B78" s="441"/>
      <c r="C78" s="442"/>
      <c r="D78" s="443"/>
      <c r="E78" s="443"/>
      <c r="F78" s="443"/>
      <c r="G78" s="443"/>
      <c r="H78" s="443"/>
      <c r="I78" s="443"/>
      <c r="J78" s="443"/>
      <c r="K78" s="22"/>
    </row>
    <row r="79" spans="1:11" ht="14.1" customHeight="1" x14ac:dyDescent="0.2">
      <c r="A79" s="21" t="s">
        <v>674</v>
      </c>
      <c r="B79" s="441"/>
      <c r="C79" s="442"/>
      <c r="D79" s="443"/>
      <c r="E79" s="443"/>
      <c r="F79" s="443"/>
      <c r="G79" s="443"/>
      <c r="H79" s="443"/>
      <c r="I79" s="443"/>
      <c r="J79" s="443"/>
      <c r="K79" s="22"/>
    </row>
    <row r="80" spans="1:11" ht="14.1" customHeight="1" x14ac:dyDescent="0.2">
      <c r="A80" s="21" t="s">
        <v>675</v>
      </c>
      <c r="B80" s="441"/>
      <c r="C80" s="442"/>
      <c r="D80" s="443"/>
      <c r="E80" s="443"/>
      <c r="F80" s="443"/>
      <c r="G80" s="443"/>
      <c r="H80" s="443"/>
      <c r="I80" s="443"/>
      <c r="J80" s="443"/>
      <c r="K80" s="22"/>
    </row>
    <row r="81" spans="1:11" ht="14.1" customHeight="1" x14ac:dyDescent="0.2">
      <c r="A81" s="21" t="s">
        <v>676</v>
      </c>
      <c r="B81" s="441"/>
      <c r="C81" s="442"/>
      <c r="D81" s="443"/>
      <c r="E81" s="443"/>
      <c r="F81" s="443"/>
      <c r="G81" s="443"/>
      <c r="H81" s="443"/>
      <c r="I81" s="443"/>
      <c r="J81" s="443"/>
      <c r="K81" s="22"/>
    </row>
    <row r="82" spans="1:11" ht="14.1" customHeight="1" x14ac:dyDescent="0.2">
      <c r="A82" s="21" t="s">
        <v>677</v>
      </c>
      <c r="B82" s="441"/>
      <c r="C82" s="442"/>
      <c r="D82" s="443"/>
      <c r="E82" s="443"/>
      <c r="F82" s="443"/>
      <c r="G82" s="443"/>
      <c r="H82" s="443"/>
      <c r="I82" s="443"/>
      <c r="J82" s="443"/>
      <c r="K82" s="22"/>
    </row>
    <row r="83" spans="1:11" ht="14.1" customHeight="1" x14ac:dyDescent="0.2">
      <c r="A83" s="21" t="s">
        <v>678</v>
      </c>
      <c r="B83" s="441"/>
      <c r="C83" s="442"/>
      <c r="D83" s="443"/>
      <c r="E83" s="443"/>
      <c r="F83" s="443"/>
      <c r="G83" s="443"/>
      <c r="H83" s="443"/>
      <c r="I83" s="443"/>
      <c r="J83" s="443"/>
      <c r="K83" s="22"/>
    </row>
    <row r="84" spans="1:11" ht="14.1" customHeight="1" x14ac:dyDescent="0.2">
      <c r="A84" s="21" t="s">
        <v>679</v>
      </c>
      <c r="B84" s="441"/>
      <c r="C84" s="442"/>
      <c r="D84" s="443"/>
      <c r="E84" s="443"/>
      <c r="F84" s="443"/>
      <c r="G84" s="443"/>
      <c r="H84" s="443"/>
      <c r="I84" s="443"/>
      <c r="J84" s="443"/>
      <c r="K84" s="22"/>
    </row>
    <row r="85" spans="1:11" ht="14.1" customHeight="1" x14ac:dyDescent="0.2">
      <c r="A85" s="21" t="s">
        <v>680</v>
      </c>
      <c r="B85" s="441"/>
      <c r="C85" s="442"/>
      <c r="D85" s="443"/>
      <c r="E85" s="443"/>
      <c r="F85" s="443"/>
      <c r="G85" s="443"/>
      <c r="H85" s="443"/>
      <c r="I85" s="443"/>
      <c r="J85" s="443"/>
      <c r="K85" s="22"/>
    </row>
    <row r="86" spans="1:11" ht="14.1" customHeight="1" x14ac:dyDescent="0.2">
      <c r="A86" s="21" t="s">
        <v>681</v>
      </c>
      <c r="B86" s="441"/>
      <c r="C86" s="442"/>
      <c r="D86" s="443"/>
      <c r="E86" s="443"/>
      <c r="F86" s="443"/>
      <c r="G86" s="443"/>
      <c r="H86" s="443"/>
      <c r="I86" s="443"/>
      <c r="J86" s="443"/>
      <c r="K86" s="22"/>
    </row>
    <row r="87" spans="1:11" ht="14.1" customHeight="1" x14ac:dyDescent="0.2">
      <c r="A87" s="21" t="s">
        <v>682</v>
      </c>
      <c r="B87" s="441"/>
      <c r="C87" s="442"/>
      <c r="D87" s="443"/>
      <c r="E87" s="443"/>
      <c r="F87" s="443"/>
      <c r="G87" s="443"/>
      <c r="H87" s="443"/>
      <c r="I87" s="443"/>
      <c r="J87" s="443"/>
      <c r="K87" s="22"/>
    </row>
    <row r="88" spans="1:11" ht="14.1" customHeight="1" x14ac:dyDescent="0.2">
      <c r="A88" s="21" t="s">
        <v>683</v>
      </c>
      <c r="B88" s="441"/>
      <c r="C88" s="442"/>
      <c r="D88" s="443"/>
      <c r="E88" s="443"/>
      <c r="F88" s="443"/>
      <c r="G88" s="443"/>
      <c r="H88" s="443"/>
      <c r="I88" s="443"/>
      <c r="J88" s="443"/>
      <c r="K88" s="22"/>
    </row>
    <row r="89" spans="1:11" ht="14.1" customHeight="1" x14ac:dyDescent="0.2">
      <c r="A89" s="21" t="s">
        <v>684</v>
      </c>
      <c r="B89" s="441"/>
      <c r="C89" s="442"/>
      <c r="D89" s="443"/>
      <c r="E89" s="443"/>
      <c r="F89" s="443"/>
      <c r="G89" s="443"/>
      <c r="H89" s="443"/>
      <c r="I89" s="443"/>
      <c r="J89" s="443"/>
      <c r="K89" s="22"/>
    </row>
    <row r="90" spans="1:11" ht="14.1" customHeight="1" x14ac:dyDescent="0.2">
      <c r="A90" s="21" t="s">
        <v>685</v>
      </c>
      <c r="B90" s="441"/>
      <c r="C90" s="442"/>
      <c r="D90" s="443"/>
      <c r="E90" s="443"/>
      <c r="F90" s="443"/>
      <c r="G90" s="443"/>
      <c r="H90" s="443"/>
      <c r="I90" s="443"/>
      <c r="J90" s="443"/>
      <c r="K90" s="22"/>
    </row>
    <row r="91" spans="1:11" ht="14.1" customHeight="1" x14ac:dyDescent="0.2">
      <c r="A91" s="21" t="s">
        <v>686</v>
      </c>
      <c r="B91" s="441"/>
      <c r="C91" s="442"/>
      <c r="D91" s="443"/>
      <c r="E91" s="443"/>
      <c r="F91" s="443"/>
      <c r="G91" s="443"/>
      <c r="H91" s="443"/>
      <c r="I91" s="443"/>
      <c r="J91" s="443"/>
      <c r="K91" s="22"/>
    </row>
    <row r="92" spans="1:11" ht="14.1" customHeight="1" x14ac:dyDescent="0.2">
      <c r="A92" s="21" t="s">
        <v>687</v>
      </c>
      <c r="B92" s="441"/>
      <c r="C92" s="442"/>
      <c r="D92" s="443"/>
      <c r="E92" s="443"/>
      <c r="F92" s="443"/>
      <c r="G92" s="443"/>
      <c r="H92" s="443"/>
      <c r="I92" s="443"/>
      <c r="J92" s="443"/>
      <c r="K92" s="22"/>
    </row>
    <row r="93" spans="1:11" ht="14.1" customHeight="1" x14ac:dyDescent="0.2">
      <c r="A93" s="21" t="s">
        <v>688</v>
      </c>
      <c r="B93" s="441"/>
      <c r="C93" s="442"/>
      <c r="D93" s="443"/>
      <c r="E93" s="443"/>
      <c r="F93" s="443"/>
      <c r="G93" s="443"/>
      <c r="H93" s="443"/>
      <c r="I93" s="443"/>
      <c r="J93" s="443"/>
      <c r="K93" s="22"/>
    </row>
    <row r="94" spans="1:11" ht="14.1" customHeight="1" x14ac:dyDescent="0.2">
      <c r="A94" s="21" t="s">
        <v>689</v>
      </c>
      <c r="B94" s="441"/>
      <c r="C94" s="442"/>
      <c r="D94" s="443"/>
      <c r="E94" s="443"/>
      <c r="F94" s="443"/>
      <c r="G94" s="443"/>
      <c r="H94" s="443"/>
      <c r="I94" s="443"/>
      <c r="J94" s="443"/>
      <c r="K94" s="22"/>
    </row>
    <row r="95" spans="1:11" ht="14.1" customHeight="1" x14ac:dyDescent="0.2">
      <c r="A95" s="21" t="s">
        <v>690</v>
      </c>
      <c r="B95" s="441"/>
      <c r="C95" s="442"/>
      <c r="D95" s="443"/>
      <c r="E95" s="443"/>
      <c r="F95" s="443"/>
      <c r="G95" s="443"/>
      <c r="H95" s="443"/>
      <c r="I95" s="443"/>
      <c r="J95" s="443"/>
      <c r="K95" s="22"/>
    </row>
    <row r="96" spans="1:11" ht="14.1" customHeight="1" x14ac:dyDescent="0.2">
      <c r="A96" s="21" t="s">
        <v>691</v>
      </c>
      <c r="B96" s="441"/>
      <c r="C96" s="442"/>
      <c r="D96" s="443"/>
      <c r="E96" s="443"/>
      <c r="F96" s="443"/>
      <c r="G96" s="443"/>
      <c r="H96" s="443"/>
      <c r="I96" s="443"/>
      <c r="J96" s="443"/>
      <c r="K96" s="22"/>
    </row>
    <row r="97" spans="1:11" ht="14.1" customHeight="1" x14ac:dyDescent="0.2">
      <c r="A97" s="21" t="s">
        <v>692</v>
      </c>
      <c r="B97" s="441"/>
      <c r="C97" s="442"/>
      <c r="D97" s="443"/>
      <c r="E97" s="443"/>
      <c r="F97" s="443"/>
      <c r="G97" s="443"/>
      <c r="H97" s="443"/>
      <c r="I97" s="443"/>
      <c r="J97" s="443"/>
      <c r="K97" s="22"/>
    </row>
    <row r="98" spans="1:11" ht="14.1" customHeight="1" x14ac:dyDescent="0.2">
      <c r="A98" s="21" t="s">
        <v>693</v>
      </c>
      <c r="B98" s="441"/>
      <c r="C98" s="442"/>
      <c r="D98" s="443"/>
      <c r="E98" s="443"/>
      <c r="F98" s="443"/>
      <c r="G98" s="443"/>
      <c r="H98" s="443"/>
      <c r="I98" s="443"/>
      <c r="J98" s="443"/>
      <c r="K98" s="22"/>
    </row>
    <row r="99" spans="1:11" ht="14.1" customHeight="1" x14ac:dyDescent="0.2">
      <c r="A99" s="21" t="s">
        <v>694</v>
      </c>
      <c r="B99" s="441"/>
      <c r="C99" s="442"/>
      <c r="D99" s="443"/>
      <c r="E99" s="443"/>
      <c r="F99" s="443"/>
      <c r="G99" s="443"/>
      <c r="H99" s="443"/>
      <c r="I99" s="443"/>
      <c r="J99" s="443"/>
      <c r="K99" s="22"/>
    </row>
    <row r="100" spans="1:11" ht="14.1" customHeight="1" x14ac:dyDescent="0.2">
      <c r="A100" s="21" t="s">
        <v>695</v>
      </c>
      <c r="B100" s="441"/>
      <c r="C100" s="442"/>
      <c r="D100" s="443"/>
      <c r="E100" s="443"/>
      <c r="F100" s="443"/>
      <c r="G100" s="443"/>
      <c r="H100" s="443"/>
      <c r="I100" s="443"/>
      <c r="J100" s="443"/>
      <c r="K100" s="22"/>
    </row>
    <row r="101" spans="1:11" ht="14.1" customHeight="1" x14ac:dyDescent="0.2">
      <c r="A101" s="21" t="s">
        <v>696</v>
      </c>
      <c r="B101" s="441"/>
      <c r="C101" s="442"/>
      <c r="D101" s="443"/>
      <c r="E101" s="443"/>
      <c r="F101" s="443"/>
      <c r="G101" s="443"/>
      <c r="H101" s="443"/>
      <c r="I101" s="443"/>
      <c r="J101" s="443"/>
      <c r="K101" s="22"/>
    </row>
    <row r="102" spans="1:11" ht="14.1" customHeight="1" x14ac:dyDescent="0.2">
      <c r="A102" s="21" t="s">
        <v>697</v>
      </c>
      <c r="B102" s="441"/>
      <c r="C102" s="442"/>
      <c r="D102" s="443"/>
      <c r="E102" s="443"/>
      <c r="F102" s="443"/>
      <c r="G102" s="443"/>
      <c r="H102" s="443"/>
      <c r="I102" s="443"/>
      <c r="J102" s="443"/>
      <c r="K102" s="22"/>
    </row>
    <row r="103" spans="1:11" ht="14.1" customHeight="1" x14ac:dyDescent="0.2">
      <c r="A103" s="21" t="s">
        <v>698</v>
      </c>
      <c r="B103" s="441"/>
      <c r="C103" s="442"/>
      <c r="D103" s="443"/>
      <c r="E103" s="443"/>
      <c r="F103" s="443"/>
      <c r="G103" s="443"/>
      <c r="H103" s="443"/>
      <c r="I103" s="443"/>
      <c r="J103" s="443"/>
      <c r="K103" s="22"/>
    </row>
    <row r="104" spans="1:11" ht="14.1" customHeight="1" x14ac:dyDescent="0.2">
      <c r="A104" s="21" t="s">
        <v>699</v>
      </c>
      <c r="B104" s="441"/>
      <c r="C104" s="442"/>
      <c r="D104" s="443"/>
      <c r="E104" s="443"/>
      <c r="F104" s="443"/>
      <c r="G104" s="443"/>
      <c r="H104" s="443"/>
      <c r="I104" s="443"/>
      <c r="J104" s="443"/>
      <c r="K104" s="22"/>
    </row>
    <row r="105" spans="1:11" ht="14.1" customHeight="1" x14ac:dyDescent="0.2">
      <c r="A105" s="21" t="s">
        <v>700</v>
      </c>
      <c r="B105" s="441"/>
      <c r="C105" s="442"/>
      <c r="D105" s="443"/>
      <c r="E105" s="443"/>
      <c r="F105" s="443"/>
      <c r="G105" s="443"/>
      <c r="H105" s="443"/>
      <c r="I105" s="443"/>
      <c r="J105" s="443"/>
      <c r="K105" s="22"/>
    </row>
    <row r="106" spans="1:11" ht="14.1" customHeight="1" x14ac:dyDescent="0.2">
      <c r="A106" s="21" t="s">
        <v>701</v>
      </c>
      <c r="B106" s="441"/>
      <c r="C106" s="442"/>
      <c r="D106" s="443"/>
      <c r="E106" s="443"/>
      <c r="F106" s="443"/>
      <c r="G106" s="443"/>
      <c r="H106" s="443"/>
      <c r="I106" s="443"/>
      <c r="J106" s="443"/>
      <c r="K106" s="22"/>
    </row>
    <row r="107" spans="1:11" ht="14.1" customHeight="1" x14ac:dyDescent="0.2">
      <c r="A107" s="21" t="s">
        <v>702</v>
      </c>
      <c r="B107" s="441"/>
      <c r="C107" s="442"/>
      <c r="D107" s="443"/>
      <c r="E107" s="443"/>
      <c r="F107" s="443"/>
      <c r="G107" s="443"/>
      <c r="H107" s="443"/>
      <c r="I107" s="443"/>
      <c r="J107" s="443"/>
      <c r="K107" s="22"/>
    </row>
    <row r="108" spans="1:11" ht="14.1" customHeight="1" x14ac:dyDescent="0.2">
      <c r="A108" s="21" t="s">
        <v>703</v>
      </c>
      <c r="B108" s="441"/>
      <c r="C108" s="442"/>
      <c r="D108" s="443"/>
      <c r="E108" s="443"/>
      <c r="F108" s="443"/>
      <c r="G108" s="443"/>
      <c r="H108" s="443"/>
      <c r="I108" s="443"/>
      <c r="J108" s="443"/>
      <c r="K108" s="22"/>
    </row>
    <row r="109" spans="1:11" ht="5.0999999999999996" customHeight="1" x14ac:dyDescent="0.2"/>
  </sheetData>
  <sheetProtection password="C79A" sheet="1" objects="1"/>
  <mergeCells count="312">
    <mergeCell ref="A1:B2"/>
    <mergeCell ref="I8:J8"/>
    <mergeCell ref="D8:H8"/>
    <mergeCell ref="B8:C8"/>
    <mergeCell ref="A7:A8"/>
    <mergeCell ref="A3:K3"/>
    <mergeCell ref="I7:J7"/>
    <mergeCell ref="A5:K5"/>
    <mergeCell ref="A4:K4"/>
    <mergeCell ref="A6:K6"/>
    <mergeCell ref="I14:J14"/>
    <mergeCell ref="D15:H15"/>
    <mergeCell ref="I15:J15"/>
    <mergeCell ref="B9:C9"/>
    <mergeCell ref="D11:H11"/>
    <mergeCell ref="B7:C7"/>
    <mergeCell ref="B12:C12"/>
    <mergeCell ref="I12:J12"/>
    <mergeCell ref="D12:H12"/>
    <mergeCell ref="I11:J11"/>
    <mergeCell ref="D9:H9"/>
    <mergeCell ref="I9:J9"/>
    <mergeCell ref="D10:H10"/>
    <mergeCell ref="I10:J10"/>
    <mergeCell ref="D7:H7"/>
    <mergeCell ref="B10:C10"/>
    <mergeCell ref="B18:C18"/>
    <mergeCell ref="D18:H18"/>
    <mergeCell ref="D16:H16"/>
    <mergeCell ref="B11:C11"/>
    <mergeCell ref="B14:C14"/>
    <mergeCell ref="B15:C15"/>
    <mergeCell ref="B17:C17"/>
    <mergeCell ref="D17:H17"/>
    <mergeCell ref="B16:C16"/>
    <mergeCell ref="I18:J18"/>
    <mergeCell ref="B19:C19"/>
    <mergeCell ref="D19:H19"/>
    <mergeCell ref="I19:J19"/>
    <mergeCell ref="B13:C13"/>
    <mergeCell ref="D13:H13"/>
    <mergeCell ref="I16:J16"/>
    <mergeCell ref="I17:J17"/>
    <mergeCell ref="I13:J13"/>
    <mergeCell ref="D14:H14"/>
    <mergeCell ref="B20:C20"/>
    <mergeCell ref="D20:H20"/>
    <mergeCell ref="I20:J20"/>
    <mergeCell ref="B21:C21"/>
    <mergeCell ref="D21:H21"/>
    <mergeCell ref="I21:J21"/>
    <mergeCell ref="B22:C22"/>
    <mergeCell ref="D22:H22"/>
    <mergeCell ref="I22:J22"/>
    <mergeCell ref="B23:C23"/>
    <mergeCell ref="D23:H23"/>
    <mergeCell ref="I23:J23"/>
    <mergeCell ref="B24:C24"/>
    <mergeCell ref="D24:H24"/>
    <mergeCell ref="I24:J24"/>
    <mergeCell ref="B25:C25"/>
    <mergeCell ref="D25:H25"/>
    <mergeCell ref="I25:J25"/>
    <mergeCell ref="B26:C26"/>
    <mergeCell ref="D26:H26"/>
    <mergeCell ref="I26:J26"/>
    <mergeCell ref="B27:C27"/>
    <mergeCell ref="D27:H27"/>
    <mergeCell ref="I27:J27"/>
    <mergeCell ref="B28:C28"/>
    <mergeCell ref="D28:H28"/>
    <mergeCell ref="I28:J28"/>
    <mergeCell ref="B29:C29"/>
    <mergeCell ref="D29:H29"/>
    <mergeCell ref="I29:J29"/>
    <mergeCell ref="B30:C30"/>
    <mergeCell ref="D30:H30"/>
    <mergeCell ref="I30:J30"/>
    <mergeCell ref="B31:C31"/>
    <mergeCell ref="D31:H31"/>
    <mergeCell ref="I31:J31"/>
    <mergeCell ref="B32:C32"/>
    <mergeCell ref="D32:H32"/>
    <mergeCell ref="I32:J32"/>
    <mergeCell ref="B33:C33"/>
    <mergeCell ref="D33:H33"/>
    <mergeCell ref="I33:J33"/>
    <mergeCell ref="B34:C34"/>
    <mergeCell ref="D34:H34"/>
    <mergeCell ref="I34:J34"/>
    <mergeCell ref="B35:C35"/>
    <mergeCell ref="D35:H35"/>
    <mergeCell ref="I35:J35"/>
    <mergeCell ref="B36:C36"/>
    <mergeCell ref="D36:H36"/>
    <mergeCell ref="I36:J36"/>
    <mergeCell ref="B37:C37"/>
    <mergeCell ref="D37:H37"/>
    <mergeCell ref="I37:J37"/>
    <mergeCell ref="B38:C38"/>
    <mergeCell ref="D38:H38"/>
    <mergeCell ref="I38:J38"/>
    <mergeCell ref="B39:C39"/>
    <mergeCell ref="D39:H39"/>
    <mergeCell ref="I39:J39"/>
    <mergeCell ref="B40:C40"/>
    <mergeCell ref="D40:H40"/>
    <mergeCell ref="I40:J40"/>
    <mergeCell ref="B41:C41"/>
    <mergeCell ref="D41:H41"/>
    <mergeCell ref="I41:J41"/>
    <mergeCell ref="B42:C42"/>
    <mergeCell ref="D42:H42"/>
    <mergeCell ref="I42:J42"/>
    <mergeCell ref="B43:C43"/>
    <mergeCell ref="D43:H43"/>
    <mergeCell ref="I43:J43"/>
    <mergeCell ref="B44:C44"/>
    <mergeCell ref="D44:H44"/>
    <mergeCell ref="I44:J44"/>
    <mergeCell ref="B45:C45"/>
    <mergeCell ref="D45:H45"/>
    <mergeCell ref="I45:J45"/>
    <mergeCell ref="B46:C46"/>
    <mergeCell ref="D46:H46"/>
    <mergeCell ref="I46:J46"/>
    <mergeCell ref="B47:C47"/>
    <mergeCell ref="D47:H47"/>
    <mergeCell ref="I47:J47"/>
    <mergeCell ref="B48:C48"/>
    <mergeCell ref="D48:H48"/>
    <mergeCell ref="I48:J48"/>
    <mergeCell ref="B49:C49"/>
    <mergeCell ref="D49:H49"/>
    <mergeCell ref="I49:J49"/>
    <mergeCell ref="B50:C50"/>
    <mergeCell ref="D50:H50"/>
    <mergeCell ref="I50:J50"/>
    <mergeCell ref="B51:C51"/>
    <mergeCell ref="D51:H51"/>
    <mergeCell ref="I51:J51"/>
    <mergeCell ref="B52:C52"/>
    <mergeCell ref="D52:H52"/>
    <mergeCell ref="I52:J52"/>
    <mergeCell ref="B53:C53"/>
    <mergeCell ref="D53:H53"/>
    <mergeCell ref="I53:J53"/>
    <mergeCell ref="B54:C54"/>
    <mergeCell ref="D54:H54"/>
    <mergeCell ref="I54:J54"/>
    <mergeCell ref="B55:C55"/>
    <mergeCell ref="D55:H55"/>
    <mergeCell ref="I55:J55"/>
    <mergeCell ref="B56:C56"/>
    <mergeCell ref="D56:H56"/>
    <mergeCell ref="I56:J56"/>
    <mergeCell ref="B57:C57"/>
    <mergeCell ref="D57:H57"/>
    <mergeCell ref="I57:J57"/>
    <mergeCell ref="B58:C58"/>
    <mergeCell ref="D58:H58"/>
    <mergeCell ref="I58:J58"/>
    <mergeCell ref="B59:C59"/>
    <mergeCell ref="D59:H59"/>
    <mergeCell ref="I59:J59"/>
    <mergeCell ref="B60:C60"/>
    <mergeCell ref="D60:H60"/>
    <mergeCell ref="I60:J60"/>
    <mergeCell ref="B61:C61"/>
    <mergeCell ref="D61:H61"/>
    <mergeCell ref="I61:J61"/>
    <mergeCell ref="B62:C62"/>
    <mergeCell ref="D62:H62"/>
    <mergeCell ref="I62:J62"/>
    <mergeCell ref="B63:C63"/>
    <mergeCell ref="D63:H63"/>
    <mergeCell ref="I63:J63"/>
    <mergeCell ref="B64:C64"/>
    <mergeCell ref="D64:H64"/>
    <mergeCell ref="I64:J64"/>
    <mergeCell ref="B65:C65"/>
    <mergeCell ref="D65:H65"/>
    <mergeCell ref="I65:J65"/>
    <mergeCell ref="B66:C66"/>
    <mergeCell ref="D66:H66"/>
    <mergeCell ref="I66:J66"/>
    <mergeCell ref="B67:C67"/>
    <mergeCell ref="D67:H67"/>
    <mergeCell ref="I67:J67"/>
    <mergeCell ref="B68:C68"/>
    <mergeCell ref="D68:H68"/>
    <mergeCell ref="I68:J68"/>
    <mergeCell ref="B69:C69"/>
    <mergeCell ref="D69:H69"/>
    <mergeCell ref="I69:J69"/>
    <mergeCell ref="B70:C70"/>
    <mergeCell ref="D70:H70"/>
    <mergeCell ref="I70:J70"/>
    <mergeCell ref="B71:C71"/>
    <mergeCell ref="D71:H71"/>
    <mergeCell ref="I71:J71"/>
    <mergeCell ref="B72:C72"/>
    <mergeCell ref="D72:H72"/>
    <mergeCell ref="I72:J72"/>
    <mergeCell ref="B73:C73"/>
    <mergeCell ref="D73:H73"/>
    <mergeCell ref="I73:J73"/>
    <mergeCell ref="B74:C74"/>
    <mergeCell ref="D74:H74"/>
    <mergeCell ref="I74:J74"/>
    <mergeCell ref="B75:C75"/>
    <mergeCell ref="D75:H75"/>
    <mergeCell ref="I75:J75"/>
    <mergeCell ref="B76:C76"/>
    <mergeCell ref="D76:H76"/>
    <mergeCell ref="I76:J76"/>
    <mergeCell ref="B77:C77"/>
    <mergeCell ref="D77:H77"/>
    <mergeCell ref="I77:J77"/>
    <mergeCell ref="B78:C78"/>
    <mergeCell ref="D78:H78"/>
    <mergeCell ref="I78:J78"/>
    <mergeCell ref="B79:C79"/>
    <mergeCell ref="D79:H79"/>
    <mergeCell ref="I79:J79"/>
    <mergeCell ref="B80:C80"/>
    <mergeCell ref="D80:H80"/>
    <mergeCell ref="I80:J80"/>
    <mergeCell ref="B81:C81"/>
    <mergeCell ref="D81:H81"/>
    <mergeCell ref="I81:J81"/>
    <mergeCell ref="B82:C82"/>
    <mergeCell ref="D82:H82"/>
    <mergeCell ref="I82:J82"/>
    <mergeCell ref="B83:C83"/>
    <mergeCell ref="D83:H83"/>
    <mergeCell ref="I83:J83"/>
    <mergeCell ref="B84:C84"/>
    <mergeCell ref="D84:H84"/>
    <mergeCell ref="I84:J84"/>
    <mergeCell ref="B85:C85"/>
    <mergeCell ref="D85:H85"/>
    <mergeCell ref="I85:J85"/>
    <mergeCell ref="B86:C86"/>
    <mergeCell ref="D86:H86"/>
    <mergeCell ref="I86:J86"/>
    <mergeCell ref="B87:C87"/>
    <mergeCell ref="D87:H87"/>
    <mergeCell ref="I87:J87"/>
    <mergeCell ref="B88:C88"/>
    <mergeCell ref="D88:H88"/>
    <mergeCell ref="I88:J88"/>
    <mergeCell ref="B89:C89"/>
    <mergeCell ref="D89:H89"/>
    <mergeCell ref="I89:J89"/>
    <mergeCell ref="B90:C90"/>
    <mergeCell ref="D90:H90"/>
    <mergeCell ref="I90:J90"/>
    <mergeCell ref="B91:C91"/>
    <mergeCell ref="D91:H91"/>
    <mergeCell ref="I91:J91"/>
    <mergeCell ref="B92:C92"/>
    <mergeCell ref="D92:H92"/>
    <mergeCell ref="I92:J92"/>
    <mergeCell ref="B93:C93"/>
    <mergeCell ref="D93:H93"/>
    <mergeCell ref="I93:J93"/>
    <mergeCell ref="B94:C94"/>
    <mergeCell ref="D94:H94"/>
    <mergeCell ref="I94:J94"/>
    <mergeCell ref="B95:C95"/>
    <mergeCell ref="D95:H95"/>
    <mergeCell ref="I95:J95"/>
    <mergeCell ref="B96:C96"/>
    <mergeCell ref="D96:H96"/>
    <mergeCell ref="I96:J96"/>
    <mergeCell ref="B97:C97"/>
    <mergeCell ref="D97:H97"/>
    <mergeCell ref="I97:J97"/>
    <mergeCell ref="B98:C98"/>
    <mergeCell ref="D98:H98"/>
    <mergeCell ref="I98:J98"/>
    <mergeCell ref="I103:J103"/>
    <mergeCell ref="B99:C99"/>
    <mergeCell ref="D99:H99"/>
    <mergeCell ref="I99:J99"/>
    <mergeCell ref="B100:C100"/>
    <mergeCell ref="D100:H100"/>
    <mergeCell ref="I100:J100"/>
    <mergeCell ref="I101:J101"/>
    <mergeCell ref="B102:C102"/>
    <mergeCell ref="D102:H102"/>
    <mergeCell ref="I102:J102"/>
    <mergeCell ref="B101:C101"/>
    <mergeCell ref="D101:H101"/>
    <mergeCell ref="I104:J104"/>
    <mergeCell ref="B105:C105"/>
    <mergeCell ref="D105:H105"/>
    <mergeCell ref="I105:J105"/>
    <mergeCell ref="B103:C103"/>
    <mergeCell ref="D103:H103"/>
    <mergeCell ref="B104:C104"/>
    <mergeCell ref="D104:H104"/>
    <mergeCell ref="B108:C108"/>
    <mergeCell ref="D108:H108"/>
    <mergeCell ref="I108:J108"/>
    <mergeCell ref="B106:C106"/>
    <mergeCell ref="D106:H106"/>
    <mergeCell ref="I106:J106"/>
    <mergeCell ref="B107:C107"/>
    <mergeCell ref="D107:H107"/>
    <mergeCell ref="I107:J107"/>
  </mergeCells>
  <phoneticPr fontId="2" type="noConversion"/>
  <dataValidations count="3">
    <dataValidation type="whole" allowBlank="1" showInputMessage="1" showErrorMessage="1" errorTitle="Neispravan postotak udjela" error="Obveznik može konsolidirati tvrtku u kojoj ima većinski udio ili kontrolni paket dionica, zbog toga postotak vlasništva ne može biti manji od 10 i veći od 100% (znak postotka ne unosite)" sqref="K9:K108">
      <formula1>10</formula1>
      <formula2>100</formula2>
    </dataValidation>
    <dataValidation type="whole" allowBlank="1" showInputMessage="1" showErrorMessage="1" errorTitle="Neispravan matični broj" error="Za tvrtke iz Republike Hrvatske upisuje se matični broj DZS-a, dok za tvrtke izvan Hrvatske polje ostavite prazno." sqref="B9:C108">
      <formula1>123455</formula1>
      <formula2>99999999</formula2>
    </dataValidation>
    <dataValidation type="textLength" allowBlank="1" showInputMessage="1" showErrorMessage="1" errorTitle="Predug ili prekratak naziv" error="Naziv poslovnog subjekta konsolidacije mora imati barem 2, a najviše 150 slovnih mjesta" sqref="D9:H108">
      <formula1>2</formula1>
      <formula2>150</formula2>
    </dataValidation>
  </dataValidations>
  <hyperlinks>
    <hyperlink ref="E1" location="RDG!K8" tooltip="Unos podataka u Račun dobiti i gubitka" display="RDG"/>
    <hyperlink ref="D1" location="Bilanca!K10" tooltip="Unos podataka u obrazac Bilance" display="Bilanca"/>
    <hyperlink ref="C1" location="Opci!A11" tooltip="Naslovna strana, unos općih podataka" display="Naslovna"/>
    <hyperlink ref="F1" location="PodDop!A1" tooltip="Unos podataka u Dopunske podatke" display="PodDop"/>
    <hyperlink ref="G1" location="NT_I!A1" tooltip="Unos podataka u Novčani tijek po indirektnoj metodi" display="NTI"/>
    <hyperlink ref="H1" location="NT_D!A1" tooltip="Unos podataka u Novčani tijek po direktnoj metodi" display="NT_D"/>
    <hyperlink ref="I1" location="PK!A1" tooltip="Unos u Promjene kapitala" display="PK"/>
    <hyperlink ref="J1" location="ListaMB!A1" tooltip="Unos liste matičnih brojeva - subjekata konsolidacije" display="ListaMB"/>
    <hyperlink ref="C2" location="Novosti!A1" tooltip="Novosti vezane uz obrasce ili proizvode FINA-e" display="Novosti"/>
    <hyperlink ref="D2" location="Uputa!A1" tooltip="Uputa o popunjavanju obrazaca" display="Uputa"/>
    <hyperlink ref="E2" location="Kont!A1" tooltip="Pregled popisa kontrola (provjera ispravnosti obrasca)" display="Kontrole"/>
    <hyperlink ref="F2" location="Djel!A1" tooltip="Šifarnik djelatnosti (prema NKD 2007)" display="Djel"/>
    <hyperlink ref="G2" location="Opcine!A1" tooltip="Šifarnik općina / gradova" display="Opcine"/>
    <hyperlink ref="H2" location="Sifre!A1" tooltip="Šifarnik značenja svih šifri koje se unose u obrazac" display="Sifre"/>
    <hyperlink ref="I2" location="Promjene!A1" tooltip="Popis promjena u Excel datoteci po verzijama" display="Prom"/>
  </hyperlinks>
  <printOptions horizontalCentered="1"/>
  <pageMargins left="0.55118110236220474" right="0.55118110236220474" top="0.78740157480314965" bottom="0.78740157480314965" header="0.59055118110236227" footer="0.59055118110236227"/>
  <pageSetup paperSize="9" scale="86"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Skriveni</vt:lpstr>
      <vt:lpstr>Opci</vt:lpstr>
      <vt:lpstr>Bilanca</vt:lpstr>
      <vt:lpstr>RDG</vt:lpstr>
      <vt:lpstr>PodDop</vt:lpstr>
      <vt:lpstr>NT_I</vt:lpstr>
      <vt:lpstr>NT_D</vt:lpstr>
      <vt:lpstr>PK</vt:lpstr>
      <vt:lpstr>ListaMB</vt:lpstr>
      <vt:lpstr>Kont</vt:lpstr>
      <vt:lpstr>Djel</vt:lpstr>
      <vt:lpstr>Opcine</vt:lpstr>
      <vt:lpstr>Sifre</vt:lpstr>
      <vt:lpstr>Bilanca!OLE_LINK3</vt:lpstr>
      <vt:lpstr>Bilanca!Print_Area</vt:lpstr>
      <vt:lpstr>Djel!Print_Area</vt:lpstr>
      <vt:lpstr>Kont!Print_Area</vt:lpstr>
      <vt:lpstr>ListaMB!Print_Area</vt:lpstr>
      <vt:lpstr>NT_D!Print_Area</vt:lpstr>
      <vt:lpstr>NT_I!Print_Area</vt:lpstr>
      <vt:lpstr>Opci!Print_Area</vt:lpstr>
      <vt:lpstr>Opcine!Print_Area</vt:lpstr>
      <vt:lpstr>PK!Print_Area</vt:lpstr>
      <vt:lpstr>PodDop!Print_Area</vt:lpstr>
      <vt:lpstr>RDG!Print_Area</vt:lpstr>
      <vt:lpstr>Sifre!Print_Area</vt:lpstr>
      <vt:lpstr>Bilanca!Print_Titles</vt:lpstr>
      <vt:lpstr>Djel!Print_Titles</vt:lpstr>
      <vt:lpstr>Kont!Print_Titles</vt:lpstr>
      <vt:lpstr>ListaMB!Print_Titles</vt:lpstr>
      <vt:lpstr>Opcine!Print_Titles</vt:lpstr>
      <vt:lpstr>PodDop!Print_Titles</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2009-04-30T05:02:44Z</cp:lastPrinted>
  <dcterms:created xsi:type="dcterms:W3CDTF">2008-10-17T11:51:54Z</dcterms:created>
  <dcterms:modified xsi:type="dcterms:W3CDTF">2014-09-01T07:17:41Z</dcterms:modified>
</cp:coreProperties>
</file>